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Z:\(^_^)v 疫学情報センターＨＰファイル\2022年報関係\年報\Eng\"/>
    </mc:Choice>
  </mc:AlternateContent>
  <xr:revisionPtr revIDLastSave="0" documentId="13_ncr:1_{CC115E78-D114-4DD3-830D-64A0BA58CA69}" xr6:coauthVersionLast="47" xr6:coauthVersionMax="47" xr10:uidLastSave="{00000000-0000-0000-0000-000000000000}"/>
  <bookViews>
    <workbookView xWindow="8250" yWindow="705" windowWidth="28815" windowHeight="19545" activeTab="2" xr2:uid="{00000000-000D-0000-FFFF-FFFF00000000}"/>
  </bookViews>
  <sheets>
    <sheet name="Notification" sheetId="1" r:id="rId1"/>
    <sheet name="Smear+" sheetId="2" r:id="rId2"/>
    <sheet name="Figure(E)" sheetId="3" r:id="rId3"/>
  </sheets>
  <definedNames>
    <definedName name="_xlnm.Print_Area" localSheetId="2">'Figure(E)'!$B$8:$O$61</definedName>
    <definedName name="_xlnm.Print_Area" localSheetId="0">Notification!$M$229:$X$241</definedName>
    <definedName name="_xlnm.Print_Area" localSheetId="1">'Smear+'!$L$177:$V$189</definedName>
  </definedNames>
  <calcPr calcId="181029"/>
</workbook>
</file>

<file path=xl/calcChain.xml><?xml version="1.0" encoding="utf-8"?>
<calcChain xmlns="http://schemas.openxmlformats.org/spreadsheetml/2006/main">
  <c r="N152" i="2" l="1"/>
  <c r="O152" i="2"/>
  <c r="P152" i="2"/>
  <c r="Q152" i="2"/>
  <c r="R152" i="2"/>
  <c r="S152" i="2"/>
  <c r="T152" i="2"/>
  <c r="U152" i="2"/>
  <c r="V152" i="2"/>
  <c r="W152" i="2"/>
  <c r="X152" i="2"/>
  <c r="N191" i="1"/>
  <c r="O191" i="1"/>
  <c r="P191" i="1"/>
  <c r="Q191" i="1"/>
  <c r="R191" i="1"/>
  <c r="S191" i="1"/>
  <c r="T191" i="1"/>
  <c r="U191" i="1"/>
  <c r="V191" i="1"/>
  <c r="W191" i="1"/>
  <c r="X191" i="1"/>
  <c r="N151" i="2" l="1"/>
  <c r="O151" i="2"/>
  <c r="P151" i="2"/>
  <c r="Q151" i="2"/>
  <c r="R151" i="2"/>
  <c r="S151" i="2"/>
  <c r="T151" i="2"/>
  <c r="U151" i="2"/>
  <c r="V151" i="2"/>
  <c r="W151" i="2"/>
  <c r="X151" i="2"/>
  <c r="N190" i="1" l="1"/>
  <c r="O190" i="1"/>
  <c r="P190" i="1"/>
  <c r="Q190" i="1"/>
  <c r="R190" i="1"/>
  <c r="S190" i="1"/>
  <c r="T190" i="1"/>
  <c r="U190" i="1"/>
  <c r="V190" i="1"/>
  <c r="W190" i="1"/>
  <c r="X190" i="1"/>
  <c r="N189" i="1" l="1"/>
  <c r="O189" i="1"/>
  <c r="O150" i="2"/>
  <c r="P150" i="2"/>
  <c r="Q150" i="2"/>
  <c r="R150" i="2"/>
  <c r="S150" i="2"/>
  <c r="T150" i="2"/>
  <c r="U150" i="2"/>
  <c r="V150" i="2"/>
  <c r="W150" i="2"/>
  <c r="X150" i="2"/>
  <c r="N150" i="2"/>
  <c r="V189" i="1"/>
  <c r="P189" i="1"/>
  <c r="Q189" i="1"/>
  <c r="R189" i="1"/>
  <c r="S189" i="1"/>
  <c r="T189" i="1"/>
  <c r="U189" i="1"/>
  <c r="W189" i="1"/>
  <c r="X189" i="1"/>
  <c r="X149" i="2"/>
  <c r="O149" i="2"/>
  <c r="P149" i="2"/>
  <c r="Q149" i="2"/>
  <c r="R149" i="2"/>
  <c r="S149" i="2"/>
  <c r="T149" i="2"/>
  <c r="U149" i="2"/>
  <c r="V149" i="2"/>
  <c r="W149" i="2"/>
  <c r="N149" i="2"/>
  <c r="W148" i="2"/>
  <c r="N148" i="2"/>
  <c r="O148" i="2"/>
  <c r="P148" i="2"/>
  <c r="Q148" i="2"/>
  <c r="R148" i="2"/>
  <c r="S148" i="2"/>
  <c r="T148" i="2"/>
  <c r="U148" i="2"/>
  <c r="V148" i="2"/>
  <c r="X148" i="2"/>
  <c r="N187" i="1"/>
  <c r="O187" i="1"/>
  <c r="P187" i="1"/>
  <c r="Q187" i="1"/>
  <c r="R187" i="1"/>
  <c r="S187" i="1"/>
  <c r="T187" i="1"/>
  <c r="U187" i="1"/>
  <c r="V187" i="1"/>
  <c r="W187" i="1"/>
  <c r="X187" i="1"/>
  <c r="N147" i="2"/>
  <c r="O147" i="2"/>
  <c r="P147" i="2"/>
  <c r="Q147" i="2"/>
  <c r="R147" i="2"/>
  <c r="S147" i="2"/>
  <c r="T147" i="2"/>
  <c r="U147" i="2"/>
  <c r="V147" i="2"/>
  <c r="W147" i="2"/>
  <c r="X147" i="2"/>
  <c r="N186" i="1"/>
  <c r="O186" i="1"/>
  <c r="P186" i="1"/>
  <c r="Q186" i="1"/>
  <c r="R186" i="1"/>
  <c r="S186" i="1"/>
  <c r="T186" i="1"/>
  <c r="U186" i="1"/>
  <c r="V186" i="1"/>
  <c r="W186" i="1"/>
  <c r="X186" i="1"/>
  <c r="N144" i="2"/>
  <c r="O144" i="2"/>
  <c r="P144" i="2"/>
  <c r="Q144" i="2"/>
  <c r="R144" i="2"/>
  <c r="S144" i="2"/>
  <c r="T144" i="2"/>
  <c r="U144" i="2"/>
  <c r="V144" i="2"/>
  <c r="W144" i="2"/>
  <c r="X144" i="2"/>
  <c r="N146" i="2"/>
  <c r="O146" i="2"/>
  <c r="P146" i="2"/>
  <c r="Q146" i="2"/>
  <c r="R146" i="2"/>
  <c r="S146" i="2"/>
  <c r="T146" i="2"/>
  <c r="U146" i="2"/>
  <c r="V146" i="2"/>
  <c r="W146" i="2"/>
  <c r="X146" i="2"/>
  <c r="N185" i="1"/>
  <c r="O185" i="1"/>
  <c r="P185" i="1"/>
  <c r="Q185" i="1"/>
  <c r="R185" i="1"/>
  <c r="S185" i="1"/>
  <c r="T185" i="1"/>
  <c r="U185" i="1"/>
  <c r="V185" i="1"/>
  <c r="W185" i="1"/>
  <c r="X185" i="1"/>
  <c r="N145" i="2"/>
  <c r="N184" i="1"/>
  <c r="O184" i="1"/>
  <c r="P184" i="1"/>
  <c r="Q184" i="1"/>
  <c r="R184" i="1"/>
  <c r="S184" i="1"/>
  <c r="T184" i="1"/>
  <c r="U184" i="1"/>
  <c r="V184" i="1"/>
  <c r="W184" i="1"/>
  <c r="X184" i="1"/>
  <c r="P145" i="2"/>
  <c r="Q145" i="2"/>
  <c r="R145" i="2"/>
  <c r="S145" i="2"/>
  <c r="T145" i="2"/>
  <c r="U145" i="2"/>
  <c r="V145" i="2"/>
  <c r="W145" i="2"/>
  <c r="X145" i="2"/>
  <c r="O145" i="2"/>
  <c r="N183" i="1"/>
  <c r="O183" i="1"/>
  <c r="P183" i="1"/>
  <c r="Q183" i="1"/>
  <c r="R183" i="1"/>
  <c r="S183" i="1"/>
  <c r="T183" i="1"/>
  <c r="U183" i="1"/>
  <c r="V183" i="1"/>
  <c r="W183" i="1"/>
  <c r="X183" i="1"/>
  <c r="N143" i="2"/>
  <c r="O143" i="2"/>
  <c r="P143" i="2"/>
  <c r="Q143" i="2"/>
  <c r="R143" i="2"/>
  <c r="S143" i="2"/>
  <c r="T143" i="2"/>
  <c r="U143" i="2"/>
  <c r="V143" i="2"/>
  <c r="W143" i="2"/>
  <c r="X143" i="2"/>
  <c r="X182" i="1"/>
  <c r="N182" i="1"/>
  <c r="O182" i="1"/>
  <c r="P182" i="1"/>
  <c r="Q182" i="1"/>
  <c r="R182" i="1"/>
  <c r="S182" i="1"/>
  <c r="T182" i="1"/>
  <c r="U182" i="1"/>
  <c r="V182" i="1"/>
  <c r="W182" i="1"/>
  <c r="M269" i="1"/>
  <c r="N181" i="1"/>
  <c r="N275" i="1"/>
  <c r="O276" i="1" s="1"/>
  <c r="P276" i="1" s="1"/>
  <c r="W142" i="2"/>
  <c r="N142" i="2"/>
  <c r="O142" i="2"/>
  <c r="P142" i="2"/>
  <c r="Q142" i="2"/>
  <c r="R142" i="2"/>
  <c r="S142" i="2"/>
  <c r="T142" i="2"/>
  <c r="U142" i="2"/>
  <c r="V142" i="2"/>
  <c r="X142" i="2"/>
  <c r="Q181" i="1"/>
  <c r="O181" i="1"/>
  <c r="P181" i="1"/>
  <c r="R181" i="1"/>
  <c r="S181" i="1"/>
  <c r="T181" i="1"/>
  <c r="U181" i="1"/>
  <c r="V181" i="1"/>
  <c r="W181" i="1"/>
  <c r="X181" i="1"/>
  <c r="N141" i="2"/>
  <c r="O141" i="2"/>
  <c r="P141" i="2"/>
  <c r="Q141" i="2"/>
  <c r="R141" i="2"/>
  <c r="S141" i="2"/>
  <c r="T141" i="2"/>
  <c r="U141" i="2"/>
  <c r="V141" i="2"/>
  <c r="W141" i="2"/>
  <c r="X141" i="2"/>
  <c r="N180" i="1"/>
  <c r="O180" i="1"/>
  <c r="P180" i="1"/>
  <c r="Q180" i="1"/>
  <c r="R180" i="1"/>
  <c r="S180" i="1"/>
  <c r="T180" i="1"/>
  <c r="U180" i="1"/>
  <c r="V180" i="1"/>
  <c r="W180" i="1"/>
  <c r="X180" i="1"/>
  <c r="P90" i="2"/>
  <c r="P140" i="2" s="1"/>
  <c r="O90" i="2"/>
  <c r="O140" i="2" s="1"/>
  <c r="S219" i="2"/>
  <c r="R219" i="2"/>
  <c r="Q219" i="2"/>
  <c r="P219" i="2"/>
  <c r="O219" i="2"/>
  <c r="N219" i="2"/>
  <c r="M219" i="2"/>
  <c r="X269" i="1"/>
  <c r="W269" i="1"/>
  <c r="U269" i="1"/>
  <c r="T269" i="1"/>
  <c r="S269" i="1"/>
  <c r="R269" i="1"/>
  <c r="Q269" i="1"/>
  <c r="P269" i="1"/>
  <c r="O269" i="1"/>
  <c r="N269" i="1"/>
  <c r="M265" i="1"/>
  <c r="M270" i="1" s="1"/>
  <c r="M266" i="1"/>
  <c r="M267" i="1"/>
  <c r="M268" i="1"/>
  <c r="L216" i="2"/>
  <c r="L217" i="2"/>
  <c r="L218" i="2"/>
  <c r="L219" i="2"/>
  <c r="M224" i="2"/>
  <c r="N224" i="2"/>
  <c r="O223" i="2"/>
  <c r="O224" i="2" s="1"/>
  <c r="P223" i="2"/>
  <c r="P224" i="2" s="1"/>
  <c r="Q223" i="2"/>
  <c r="Q224" i="2" s="1"/>
  <c r="R223" i="2"/>
  <c r="R224" i="2" s="1"/>
  <c r="S223" i="2"/>
  <c r="S224" i="2" s="1"/>
  <c r="T223" i="2"/>
  <c r="T224" i="2" s="1"/>
  <c r="U223" i="2"/>
  <c r="U224" i="2" s="1"/>
  <c r="V216" i="2"/>
  <c r="V220" i="2" s="1"/>
  <c r="V217" i="2"/>
  <c r="V218" i="2"/>
  <c r="V219" i="2"/>
  <c r="U216" i="2"/>
  <c r="U217" i="2"/>
  <c r="U218" i="2"/>
  <c r="U219" i="2"/>
  <c r="S216" i="2"/>
  <c r="S220" i="2" s="1"/>
  <c r="S217" i="2"/>
  <c r="S218" i="2"/>
  <c r="R216" i="2"/>
  <c r="R217" i="2"/>
  <c r="R220" i="2" s="1"/>
  <c r="R218" i="2"/>
  <c r="Q216" i="2"/>
  <c r="Q217" i="2"/>
  <c r="Q218" i="2"/>
  <c r="Q220" i="2" s="1"/>
  <c r="P216" i="2"/>
  <c r="P217" i="2"/>
  <c r="P218" i="2"/>
  <c r="O216" i="2"/>
  <c r="O220" i="2" s="1"/>
  <c r="O217" i="2"/>
  <c r="O218" i="2"/>
  <c r="N216" i="2"/>
  <c r="N217" i="2"/>
  <c r="N218" i="2"/>
  <c r="M216" i="2"/>
  <c r="M217" i="2"/>
  <c r="M218" i="2"/>
  <c r="M220" i="2" s="1"/>
  <c r="X140" i="2"/>
  <c r="W40" i="2"/>
  <c r="W140" i="2" s="1"/>
  <c r="V40" i="2"/>
  <c r="V140" i="2" s="1"/>
  <c r="U40" i="2"/>
  <c r="U140" i="2" s="1"/>
  <c r="T40" i="2"/>
  <c r="T140" i="2" s="1"/>
  <c r="S40" i="2"/>
  <c r="S140" i="2" s="1"/>
  <c r="R40" i="2"/>
  <c r="R140" i="2" s="1"/>
  <c r="Q40" i="2"/>
  <c r="Q140" i="2" s="1"/>
  <c r="N140" i="2"/>
  <c r="O275" i="1"/>
  <c r="P275" i="1"/>
  <c r="Q275" i="1"/>
  <c r="R275" i="1"/>
  <c r="S275" i="1"/>
  <c r="T275" i="1"/>
  <c r="U275" i="1"/>
  <c r="X266" i="1"/>
  <c r="X267" i="1"/>
  <c r="X268" i="1"/>
  <c r="W266" i="1"/>
  <c r="W267" i="1"/>
  <c r="W268" i="1"/>
  <c r="U266" i="1"/>
  <c r="U267" i="1"/>
  <c r="U268" i="1"/>
  <c r="T266" i="1"/>
  <c r="T267" i="1"/>
  <c r="T268" i="1"/>
  <c r="S266" i="1"/>
  <c r="S267" i="1"/>
  <c r="S268" i="1"/>
  <c r="R266" i="1"/>
  <c r="R267" i="1"/>
  <c r="R270" i="1" s="1"/>
  <c r="R268" i="1"/>
  <c r="Q266" i="1"/>
  <c r="Q267" i="1"/>
  <c r="Q268" i="1"/>
  <c r="P266" i="1"/>
  <c r="P267" i="1"/>
  <c r="P268" i="1"/>
  <c r="O266" i="1"/>
  <c r="O267" i="1"/>
  <c r="O268" i="1"/>
  <c r="N266" i="1"/>
  <c r="N267" i="1"/>
  <c r="N268" i="1"/>
  <c r="X179" i="1"/>
  <c r="W53" i="1"/>
  <c r="W179" i="1" s="1"/>
  <c r="V53" i="1"/>
  <c r="V179" i="1" s="1"/>
  <c r="U53" i="1"/>
  <c r="U179" i="1"/>
  <c r="T53" i="1"/>
  <c r="T179" i="1"/>
  <c r="S53" i="1"/>
  <c r="S179" i="1"/>
  <c r="R53" i="1"/>
  <c r="R179" i="1"/>
  <c r="Q53" i="1"/>
  <c r="Q179" i="1"/>
  <c r="P116" i="1"/>
  <c r="P179" i="1"/>
  <c r="O53" i="1"/>
  <c r="O116" i="1"/>
  <c r="N179" i="1"/>
  <c r="X139" i="2"/>
  <c r="W139" i="2"/>
  <c r="V139" i="2"/>
  <c r="U139" i="2"/>
  <c r="T139" i="2"/>
  <c r="S139" i="2"/>
  <c r="R139" i="2"/>
  <c r="Q139" i="2"/>
  <c r="P139" i="2"/>
  <c r="O139" i="2"/>
  <c r="N139" i="2"/>
  <c r="W275" i="1"/>
  <c r="X178" i="1"/>
  <c r="N178" i="1"/>
  <c r="W178" i="1"/>
  <c r="V178" i="1"/>
  <c r="U178" i="1"/>
  <c r="T178" i="1"/>
  <c r="S178" i="1"/>
  <c r="R178" i="1"/>
  <c r="Q178" i="1"/>
  <c r="P115" i="1"/>
  <c r="P178" i="1" s="1"/>
  <c r="O115" i="1"/>
  <c r="O178" i="1"/>
  <c r="N167" i="1"/>
  <c r="N168" i="1"/>
  <c r="N169" i="1"/>
  <c r="N170" i="1"/>
  <c r="N171" i="1"/>
  <c r="N172" i="1"/>
  <c r="N173" i="1"/>
  <c r="N174" i="1"/>
  <c r="N175" i="1"/>
  <c r="N176" i="1"/>
  <c r="N177" i="1"/>
  <c r="V214" i="2"/>
  <c r="V215" i="2"/>
  <c r="U214" i="2"/>
  <c r="U215" i="2"/>
  <c r="S214" i="2"/>
  <c r="S215" i="2"/>
  <c r="R214" i="2"/>
  <c r="R215" i="2"/>
  <c r="Q214" i="2"/>
  <c r="Q215" i="2"/>
  <c r="P214" i="2"/>
  <c r="P215" i="2"/>
  <c r="P220" i="2" s="1"/>
  <c r="O214" i="2"/>
  <c r="O215" i="2"/>
  <c r="N214" i="2"/>
  <c r="N215" i="2"/>
  <c r="M214" i="2"/>
  <c r="M215" i="2"/>
  <c r="L214" i="2"/>
  <c r="L215" i="2"/>
  <c r="X264" i="1"/>
  <c r="X265" i="1"/>
  <c r="W264" i="1"/>
  <c r="W265" i="1"/>
  <c r="U264" i="1"/>
  <c r="U265" i="1"/>
  <c r="T264" i="1"/>
  <c r="T265" i="1"/>
  <c r="S264" i="1"/>
  <c r="S265" i="1"/>
  <c r="R264" i="1"/>
  <c r="R265" i="1"/>
  <c r="Q264" i="1"/>
  <c r="Q265" i="1"/>
  <c r="P264" i="1"/>
  <c r="P265" i="1"/>
  <c r="O264" i="1"/>
  <c r="O265" i="1"/>
  <c r="N264" i="1"/>
  <c r="N265" i="1"/>
  <c r="M264" i="1"/>
  <c r="W177" i="1"/>
  <c r="X177" i="1"/>
  <c r="X138" i="2"/>
  <c r="W138" i="2"/>
  <c r="V138" i="2"/>
  <c r="U138" i="2"/>
  <c r="T138" i="2"/>
  <c r="S138" i="2"/>
  <c r="R138" i="2"/>
  <c r="Q138" i="2"/>
  <c r="P138" i="2"/>
  <c r="O138" i="2"/>
  <c r="N138" i="2"/>
  <c r="V177" i="1"/>
  <c r="U177" i="1"/>
  <c r="T177" i="1"/>
  <c r="S177" i="1"/>
  <c r="R177" i="1"/>
  <c r="Q177" i="1"/>
  <c r="P177" i="1"/>
  <c r="O51" i="1"/>
  <c r="O177" i="1"/>
  <c r="V275" i="1"/>
  <c r="V224" i="2"/>
  <c r="T211" i="2"/>
  <c r="T210" i="2"/>
  <c r="T209" i="2"/>
  <c r="V213" i="2"/>
  <c r="U213" i="2"/>
  <c r="W36" i="2"/>
  <c r="W136" i="2"/>
  <c r="X136" i="2"/>
  <c r="X135" i="2"/>
  <c r="X134" i="2"/>
  <c r="W34" i="2"/>
  <c r="W134" i="2" s="1"/>
  <c r="X133" i="2"/>
  <c r="W33" i="2"/>
  <c r="W83" i="2"/>
  <c r="X137" i="2"/>
  <c r="W37" i="2"/>
  <c r="W137" i="2" s="1"/>
  <c r="W87" i="2"/>
  <c r="V37" i="2"/>
  <c r="V137" i="2" s="1"/>
  <c r="U37" i="2"/>
  <c r="U137" i="2" s="1"/>
  <c r="T37" i="2"/>
  <c r="T137" i="2" s="1"/>
  <c r="S37" i="2"/>
  <c r="S137" i="2" s="1"/>
  <c r="R37" i="2"/>
  <c r="R137" i="2" s="1"/>
  <c r="Q37" i="2"/>
  <c r="Q137" i="2" s="1"/>
  <c r="P87" i="2"/>
  <c r="P137" i="2" s="1"/>
  <c r="O87" i="2"/>
  <c r="O137" i="2" s="1"/>
  <c r="N137" i="2"/>
  <c r="V136" i="2"/>
  <c r="U136" i="2"/>
  <c r="T136" i="2"/>
  <c r="S136" i="2"/>
  <c r="R136" i="2"/>
  <c r="Q136" i="2"/>
  <c r="P136" i="2"/>
  <c r="O86" i="2"/>
  <c r="O136" i="2" s="1"/>
  <c r="N136" i="2"/>
  <c r="W85" i="2"/>
  <c r="O85" i="2"/>
  <c r="O84" i="2"/>
  <c r="O134" i="2" s="1"/>
  <c r="O83" i="2"/>
  <c r="O133" i="2"/>
  <c r="W35" i="2"/>
  <c r="W263" i="1"/>
  <c r="V261" i="1"/>
  <c r="V260" i="1"/>
  <c r="V259" i="1"/>
  <c r="X263" i="1"/>
  <c r="V258" i="1"/>
  <c r="X176" i="1"/>
  <c r="W50" i="1"/>
  <c r="W176" i="1" s="1"/>
  <c r="W113" i="1"/>
  <c r="V50" i="1"/>
  <c r="V176" i="1" s="1"/>
  <c r="U50" i="1"/>
  <c r="U176" i="1" s="1"/>
  <c r="T50" i="1"/>
  <c r="T176" i="1"/>
  <c r="S50" i="1"/>
  <c r="S176" i="1" s="1"/>
  <c r="R50" i="1"/>
  <c r="R176" i="1"/>
  <c r="Q50" i="1"/>
  <c r="Q176" i="1" s="1"/>
  <c r="P113" i="1"/>
  <c r="P176" i="1"/>
  <c r="O50" i="1"/>
  <c r="O113" i="1"/>
  <c r="X175" i="1"/>
  <c r="X174" i="1"/>
  <c r="X173" i="1"/>
  <c r="X172" i="1"/>
  <c r="V175" i="1"/>
  <c r="U175" i="1"/>
  <c r="T175" i="1"/>
  <c r="S175" i="1"/>
  <c r="R175" i="1"/>
  <c r="Q175" i="1"/>
  <c r="P175" i="1"/>
  <c r="O49" i="1"/>
  <c r="O175" i="1" s="1"/>
  <c r="O112" i="1"/>
  <c r="W49" i="1"/>
  <c r="W175" i="1" s="1"/>
  <c r="W111" i="1"/>
  <c r="W109" i="1"/>
  <c r="W48" i="1"/>
  <c r="W47" i="1"/>
  <c r="W173" i="1" s="1"/>
  <c r="W46" i="1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T208" i="2"/>
  <c r="S208" i="2"/>
  <c r="R208" i="2"/>
  <c r="Q208" i="2"/>
  <c r="P208" i="2"/>
  <c r="O208" i="2"/>
  <c r="N208" i="2"/>
  <c r="M208" i="2"/>
  <c r="L208" i="2"/>
  <c r="U263" i="1"/>
  <c r="T263" i="1"/>
  <c r="S263" i="1"/>
  <c r="R263" i="1"/>
  <c r="Q263" i="1"/>
  <c r="P263" i="1"/>
  <c r="O263" i="1"/>
  <c r="N263" i="1"/>
  <c r="M263" i="1"/>
  <c r="U262" i="1"/>
  <c r="T262" i="1"/>
  <c r="S262" i="1"/>
  <c r="R262" i="1"/>
  <c r="Q262" i="1"/>
  <c r="P262" i="1"/>
  <c r="O262" i="1"/>
  <c r="N262" i="1"/>
  <c r="M262" i="1"/>
  <c r="U261" i="1"/>
  <c r="T261" i="1"/>
  <c r="S261" i="1"/>
  <c r="R261" i="1"/>
  <c r="Q261" i="1"/>
  <c r="P261" i="1"/>
  <c r="O261" i="1"/>
  <c r="N261" i="1"/>
  <c r="M261" i="1"/>
  <c r="U260" i="1"/>
  <c r="T260" i="1"/>
  <c r="S260" i="1"/>
  <c r="R260" i="1"/>
  <c r="Q260" i="1"/>
  <c r="P260" i="1"/>
  <c r="O260" i="1"/>
  <c r="N260" i="1"/>
  <c r="M260" i="1"/>
  <c r="U259" i="1"/>
  <c r="T259" i="1"/>
  <c r="S259" i="1"/>
  <c r="R259" i="1"/>
  <c r="Q259" i="1"/>
  <c r="P259" i="1"/>
  <c r="O259" i="1"/>
  <c r="N259" i="1"/>
  <c r="M259" i="1"/>
  <c r="U258" i="1"/>
  <c r="T258" i="1"/>
  <c r="S258" i="1"/>
  <c r="R258" i="1"/>
  <c r="Q258" i="1"/>
  <c r="P258" i="1"/>
  <c r="O258" i="1"/>
  <c r="N258" i="1"/>
  <c r="M258" i="1"/>
  <c r="V135" i="2"/>
  <c r="U135" i="2"/>
  <c r="T135" i="2"/>
  <c r="S135" i="2"/>
  <c r="R135" i="2"/>
  <c r="Q135" i="2"/>
  <c r="P135" i="2"/>
  <c r="O35" i="2"/>
  <c r="N135" i="2"/>
  <c r="V174" i="1"/>
  <c r="U174" i="1"/>
  <c r="T174" i="1"/>
  <c r="S174" i="1"/>
  <c r="R174" i="1"/>
  <c r="Q174" i="1"/>
  <c r="P174" i="1"/>
  <c r="O48" i="1"/>
  <c r="O174" i="1" s="1"/>
  <c r="O111" i="1"/>
  <c r="V134" i="2"/>
  <c r="U134" i="2"/>
  <c r="T134" i="2"/>
  <c r="S134" i="2"/>
  <c r="R134" i="2"/>
  <c r="Q134" i="2"/>
  <c r="P134" i="2"/>
  <c r="N134" i="2"/>
  <c r="V173" i="1"/>
  <c r="U173" i="1"/>
  <c r="T173" i="1"/>
  <c r="S173" i="1"/>
  <c r="R173" i="1"/>
  <c r="Q173" i="1"/>
  <c r="P173" i="1"/>
  <c r="O110" i="1"/>
  <c r="O173" i="1" s="1"/>
  <c r="V133" i="2"/>
  <c r="U133" i="2"/>
  <c r="T133" i="2"/>
  <c r="S133" i="2"/>
  <c r="R133" i="2"/>
  <c r="Q133" i="2"/>
  <c r="P133" i="2"/>
  <c r="N133" i="2"/>
  <c r="W132" i="2"/>
  <c r="V132" i="2"/>
  <c r="U132" i="2"/>
  <c r="T132" i="2"/>
  <c r="S132" i="2"/>
  <c r="R132" i="2"/>
  <c r="Q132" i="2"/>
  <c r="P132" i="2"/>
  <c r="O82" i="2"/>
  <c r="O132" i="2" s="1"/>
  <c r="N132" i="2"/>
  <c r="W131" i="2"/>
  <c r="V131" i="2"/>
  <c r="U131" i="2"/>
  <c r="T131" i="2"/>
  <c r="S131" i="2"/>
  <c r="R131" i="2"/>
  <c r="Q131" i="2"/>
  <c r="P131" i="2"/>
  <c r="O131" i="2"/>
  <c r="N131" i="2"/>
  <c r="W130" i="2"/>
  <c r="V130" i="2"/>
  <c r="U130" i="2"/>
  <c r="T130" i="2"/>
  <c r="S130" i="2"/>
  <c r="R130" i="2"/>
  <c r="Q130" i="2"/>
  <c r="P130" i="2"/>
  <c r="O130" i="2"/>
  <c r="N130" i="2"/>
  <c r="W129" i="2"/>
  <c r="V129" i="2"/>
  <c r="U129" i="2"/>
  <c r="T129" i="2"/>
  <c r="S129" i="2"/>
  <c r="R129" i="2"/>
  <c r="Q129" i="2"/>
  <c r="P129" i="2"/>
  <c r="O129" i="2"/>
  <c r="N129" i="2"/>
  <c r="W128" i="2"/>
  <c r="V128" i="2"/>
  <c r="U128" i="2"/>
  <c r="T128" i="2"/>
  <c r="S128" i="2"/>
  <c r="R128" i="2"/>
  <c r="Q128" i="2"/>
  <c r="P128" i="2"/>
  <c r="O128" i="2"/>
  <c r="N128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I129" i="2"/>
  <c r="H129" i="2"/>
  <c r="G129" i="2"/>
  <c r="F129" i="2"/>
  <c r="E129" i="2"/>
  <c r="D129" i="2"/>
  <c r="C129" i="2"/>
  <c r="I128" i="2"/>
  <c r="H128" i="2"/>
  <c r="G128" i="2"/>
  <c r="F128" i="2"/>
  <c r="E128" i="2"/>
  <c r="D128" i="2"/>
  <c r="C128" i="2"/>
  <c r="I127" i="2"/>
  <c r="H127" i="2"/>
  <c r="G127" i="2"/>
  <c r="F127" i="2"/>
  <c r="E127" i="2"/>
  <c r="D127" i="2"/>
  <c r="C127" i="2"/>
  <c r="I126" i="2"/>
  <c r="H126" i="2"/>
  <c r="G126" i="2"/>
  <c r="F126" i="2"/>
  <c r="E126" i="2"/>
  <c r="D126" i="2"/>
  <c r="C126" i="2"/>
  <c r="I125" i="2"/>
  <c r="H125" i="2"/>
  <c r="G125" i="2"/>
  <c r="F125" i="2"/>
  <c r="E125" i="2"/>
  <c r="D125" i="2"/>
  <c r="C125" i="2"/>
  <c r="I124" i="2"/>
  <c r="H124" i="2"/>
  <c r="G124" i="2"/>
  <c r="F124" i="2"/>
  <c r="E124" i="2"/>
  <c r="D124" i="2"/>
  <c r="C124" i="2"/>
  <c r="I123" i="2"/>
  <c r="H123" i="2"/>
  <c r="G123" i="2"/>
  <c r="F123" i="2"/>
  <c r="E123" i="2"/>
  <c r="D123" i="2"/>
  <c r="C123" i="2"/>
  <c r="I122" i="2"/>
  <c r="H122" i="2"/>
  <c r="G122" i="2"/>
  <c r="F122" i="2"/>
  <c r="E122" i="2"/>
  <c r="D122" i="2"/>
  <c r="C122" i="2"/>
  <c r="I121" i="2"/>
  <c r="H121" i="2"/>
  <c r="G121" i="2"/>
  <c r="F121" i="2"/>
  <c r="E121" i="2"/>
  <c r="D121" i="2"/>
  <c r="C121" i="2"/>
  <c r="I120" i="2"/>
  <c r="H120" i="2"/>
  <c r="G120" i="2"/>
  <c r="F120" i="2"/>
  <c r="E120" i="2"/>
  <c r="D120" i="2"/>
  <c r="C120" i="2"/>
  <c r="I119" i="2"/>
  <c r="H119" i="2"/>
  <c r="G119" i="2"/>
  <c r="F119" i="2"/>
  <c r="E119" i="2"/>
  <c r="D119" i="2"/>
  <c r="C119" i="2"/>
  <c r="I118" i="2"/>
  <c r="H118" i="2"/>
  <c r="G118" i="2"/>
  <c r="F118" i="2"/>
  <c r="E118" i="2"/>
  <c r="D118" i="2"/>
  <c r="C118" i="2"/>
  <c r="I117" i="2"/>
  <c r="H117" i="2"/>
  <c r="G117" i="2"/>
  <c r="F117" i="2"/>
  <c r="E117" i="2"/>
  <c r="D117" i="2"/>
  <c r="C117" i="2"/>
  <c r="I116" i="2"/>
  <c r="H116" i="2"/>
  <c r="G116" i="2"/>
  <c r="F116" i="2"/>
  <c r="E116" i="2"/>
  <c r="D116" i="2"/>
  <c r="C116" i="2"/>
  <c r="I115" i="2"/>
  <c r="H115" i="2"/>
  <c r="G115" i="2"/>
  <c r="F115" i="2"/>
  <c r="E115" i="2"/>
  <c r="D115" i="2"/>
  <c r="C115" i="2"/>
  <c r="I114" i="2"/>
  <c r="H114" i="2"/>
  <c r="G114" i="2"/>
  <c r="F114" i="2"/>
  <c r="E114" i="2"/>
  <c r="D114" i="2"/>
  <c r="C114" i="2"/>
  <c r="I113" i="2"/>
  <c r="H113" i="2"/>
  <c r="G113" i="2"/>
  <c r="F113" i="2"/>
  <c r="E113" i="2"/>
  <c r="D113" i="2"/>
  <c r="C113" i="2"/>
  <c r="I112" i="2"/>
  <c r="H112" i="2"/>
  <c r="G112" i="2"/>
  <c r="F112" i="2"/>
  <c r="E112" i="2"/>
  <c r="D112" i="2"/>
  <c r="C112" i="2"/>
  <c r="I111" i="2"/>
  <c r="H111" i="2"/>
  <c r="G111" i="2"/>
  <c r="F111" i="2"/>
  <c r="E111" i="2"/>
  <c r="D111" i="2"/>
  <c r="C111" i="2"/>
  <c r="I110" i="2"/>
  <c r="H110" i="2"/>
  <c r="G110" i="2"/>
  <c r="F110" i="2"/>
  <c r="E110" i="2"/>
  <c r="D110" i="2"/>
  <c r="C110" i="2"/>
  <c r="I109" i="2"/>
  <c r="H109" i="2"/>
  <c r="G109" i="2"/>
  <c r="F109" i="2"/>
  <c r="E109" i="2"/>
  <c r="D109" i="2"/>
  <c r="C109" i="2"/>
  <c r="I108" i="2"/>
  <c r="H108" i="2"/>
  <c r="G108" i="2"/>
  <c r="F108" i="2"/>
  <c r="E108" i="2"/>
  <c r="D108" i="2"/>
  <c r="C108" i="2"/>
  <c r="I107" i="2"/>
  <c r="H107" i="2"/>
  <c r="G107" i="2"/>
  <c r="F107" i="2"/>
  <c r="E107" i="2"/>
  <c r="D107" i="2"/>
  <c r="C107" i="2"/>
  <c r="I106" i="2"/>
  <c r="H106" i="2"/>
  <c r="G106" i="2"/>
  <c r="F106" i="2"/>
  <c r="E106" i="2"/>
  <c r="D106" i="2"/>
  <c r="C106" i="2"/>
  <c r="I105" i="2"/>
  <c r="H105" i="2"/>
  <c r="G105" i="2"/>
  <c r="F105" i="2"/>
  <c r="E105" i="2"/>
  <c r="D105" i="2"/>
  <c r="C105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W171" i="1"/>
  <c r="W170" i="1"/>
  <c r="W43" i="1"/>
  <c r="W169" i="1" s="1"/>
  <c r="W42" i="1"/>
  <c r="W168" i="1" s="1"/>
  <c r="W167" i="1"/>
  <c r="V172" i="1"/>
  <c r="V171" i="1"/>
  <c r="V170" i="1"/>
  <c r="V43" i="1"/>
  <c r="V169" i="1" s="1"/>
  <c r="V42" i="1"/>
  <c r="V168" i="1" s="1"/>
  <c r="V41" i="1"/>
  <c r="V167" i="1" s="1"/>
  <c r="K28" i="2"/>
  <c r="K128" i="2" s="1"/>
  <c r="J28" i="2"/>
  <c r="J128" i="2" s="1"/>
  <c r="K27" i="2"/>
  <c r="K127" i="2" s="1"/>
  <c r="J27" i="2"/>
  <c r="J127" i="2" s="1"/>
  <c r="K26" i="2"/>
  <c r="K126" i="2" s="1"/>
  <c r="J26" i="2"/>
  <c r="J126" i="2" s="1"/>
  <c r="K25" i="2"/>
  <c r="K125" i="2" s="1"/>
  <c r="J25" i="2"/>
  <c r="J125" i="2" s="1"/>
  <c r="K24" i="2"/>
  <c r="K124" i="2" s="1"/>
  <c r="J24" i="2"/>
  <c r="J124" i="2" s="1"/>
  <c r="K23" i="2"/>
  <c r="K123" i="2" s="1"/>
  <c r="J23" i="2"/>
  <c r="J123" i="2" s="1"/>
  <c r="K22" i="2"/>
  <c r="K122" i="2" s="1"/>
  <c r="J22" i="2"/>
  <c r="J122" i="2"/>
  <c r="K21" i="2"/>
  <c r="K121" i="2" s="1"/>
  <c r="J21" i="2"/>
  <c r="J121" i="2" s="1"/>
  <c r="K20" i="2"/>
  <c r="K120" i="2" s="1"/>
  <c r="J20" i="2"/>
  <c r="J120" i="2" s="1"/>
  <c r="K19" i="2"/>
  <c r="K119" i="2" s="1"/>
  <c r="J19" i="2"/>
  <c r="J119" i="2" s="1"/>
  <c r="K18" i="2"/>
  <c r="K118" i="2" s="1"/>
  <c r="J18" i="2"/>
  <c r="J118" i="2" s="1"/>
  <c r="K17" i="2"/>
  <c r="K117" i="2" s="1"/>
  <c r="J17" i="2"/>
  <c r="J117" i="2" s="1"/>
  <c r="K30" i="1"/>
  <c r="K156" i="1" s="1"/>
  <c r="J30" i="1"/>
  <c r="J156" i="1" s="1"/>
  <c r="K41" i="1"/>
  <c r="K167" i="1" s="1"/>
  <c r="K40" i="1"/>
  <c r="K166" i="1" s="1"/>
  <c r="K39" i="1"/>
  <c r="K165" i="1" s="1"/>
  <c r="K38" i="1"/>
  <c r="K164" i="1" s="1"/>
  <c r="K37" i="1"/>
  <c r="K163" i="1" s="1"/>
  <c r="K36" i="1"/>
  <c r="K162" i="1" s="1"/>
  <c r="K35" i="1"/>
  <c r="K161" i="1" s="1"/>
  <c r="K34" i="1"/>
  <c r="K160" i="1"/>
  <c r="K33" i="1"/>
  <c r="K159" i="1" s="1"/>
  <c r="K32" i="1"/>
  <c r="K158" i="1" s="1"/>
  <c r="K31" i="1"/>
  <c r="K157" i="1" s="1"/>
  <c r="J31" i="1"/>
  <c r="J157" i="1" s="1"/>
  <c r="J32" i="1"/>
  <c r="J33" i="1"/>
  <c r="J159" i="1" s="1"/>
  <c r="J34" i="1"/>
  <c r="J160" i="1" s="1"/>
  <c r="J35" i="1"/>
  <c r="J161" i="1" s="1"/>
  <c r="J36" i="1"/>
  <c r="J162" i="1" s="1"/>
  <c r="J37" i="1"/>
  <c r="J163" i="1" s="1"/>
  <c r="J38" i="1"/>
  <c r="J164" i="1" s="1"/>
  <c r="J39" i="1"/>
  <c r="J165" i="1" s="1"/>
  <c r="J40" i="1"/>
  <c r="J166" i="1" s="1"/>
  <c r="J41" i="1"/>
  <c r="J167" i="1" s="1"/>
  <c r="U172" i="1"/>
  <c r="T172" i="1"/>
  <c r="S172" i="1"/>
  <c r="R172" i="1"/>
  <c r="Q172" i="1"/>
  <c r="P172" i="1"/>
  <c r="O46" i="1"/>
  <c r="O109" i="1"/>
  <c r="U171" i="1"/>
  <c r="T171" i="1"/>
  <c r="S171" i="1"/>
  <c r="R171" i="1"/>
  <c r="Q171" i="1"/>
  <c r="P171" i="1"/>
  <c r="O45" i="1"/>
  <c r="O108" i="1"/>
  <c r="O171" i="1" s="1"/>
  <c r="U170" i="1"/>
  <c r="T170" i="1"/>
  <c r="S170" i="1"/>
  <c r="R170" i="1"/>
  <c r="Q170" i="1"/>
  <c r="P170" i="1"/>
  <c r="O170" i="1"/>
  <c r="U169" i="1"/>
  <c r="T169" i="1"/>
  <c r="S169" i="1"/>
  <c r="R169" i="1"/>
  <c r="Q169" i="1"/>
  <c r="P169" i="1"/>
  <c r="O169" i="1"/>
  <c r="U168" i="1"/>
  <c r="T168" i="1"/>
  <c r="S168" i="1"/>
  <c r="R168" i="1"/>
  <c r="Q168" i="1"/>
  <c r="P168" i="1"/>
  <c r="O168" i="1"/>
  <c r="U167" i="1"/>
  <c r="T167" i="1"/>
  <c r="S167" i="1"/>
  <c r="R167" i="1"/>
  <c r="Q167" i="1"/>
  <c r="P167" i="1"/>
  <c r="O167" i="1"/>
  <c r="I167" i="1"/>
  <c r="H167" i="1"/>
  <c r="G167" i="1"/>
  <c r="F167" i="1"/>
  <c r="E167" i="1"/>
  <c r="D167" i="1"/>
  <c r="C167" i="1"/>
  <c r="B167" i="1"/>
  <c r="I166" i="1"/>
  <c r="H166" i="1"/>
  <c r="G166" i="1"/>
  <c r="F166" i="1"/>
  <c r="E166" i="1"/>
  <c r="D166" i="1"/>
  <c r="C166" i="1"/>
  <c r="B166" i="1"/>
  <c r="I165" i="1"/>
  <c r="H165" i="1"/>
  <c r="G165" i="1"/>
  <c r="F165" i="1"/>
  <c r="E165" i="1"/>
  <c r="D165" i="1"/>
  <c r="C165" i="1"/>
  <c r="B165" i="1"/>
  <c r="I164" i="1"/>
  <c r="H164" i="1"/>
  <c r="G164" i="1"/>
  <c r="F164" i="1"/>
  <c r="E164" i="1"/>
  <c r="D164" i="1"/>
  <c r="C164" i="1"/>
  <c r="B164" i="1"/>
  <c r="I163" i="1"/>
  <c r="H163" i="1"/>
  <c r="G163" i="1"/>
  <c r="F163" i="1"/>
  <c r="E163" i="1"/>
  <c r="D163" i="1"/>
  <c r="C163" i="1"/>
  <c r="B163" i="1"/>
  <c r="I162" i="1"/>
  <c r="H162" i="1"/>
  <c r="G162" i="1"/>
  <c r="F162" i="1"/>
  <c r="E162" i="1"/>
  <c r="D162" i="1"/>
  <c r="C162" i="1"/>
  <c r="B162" i="1"/>
  <c r="I161" i="1"/>
  <c r="H161" i="1"/>
  <c r="G161" i="1"/>
  <c r="F161" i="1"/>
  <c r="E161" i="1"/>
  <c r="D161" i="1"/>
  <c r="C161" i="1"/>
  <c r="B161" i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J158" i="1"/>
  <c r="I158" i="1"/>
  <c r="H158" i="1"/>
  <c r="G158" i="1"/>
  <c r="F158" i="1"/>
  <c r="E158" i="1"/>
  <c r="D158" i="1"/>
  <c r="C158" i="1"/>
  <c r="B158" i="1"/>
  <c r="I157" i="1"/>
  <c r="H157" i="1"/>
  <c r="G157" i="1"/>
  <c r="F157" i="1"/>
  <c r="E157" i="1"/>
  <c r="D157" i="1"/>
  <c r="C157" i="1"/>
  <c r="B157" i="1"/>
  <c r="I156" i="1"/>
  <c r="H156" i="1"/>
  <c r="G156" i="1"/>
  <c r="F156" i="1"/>
  <c r="E156" i="1"/>
  <c r="D156" i="1"/>
  <c r="C156" i="1"/>
  <c r="B156" i="1"/>
  <c r="J155" i="1"/>
  <c r="I155" i="1"/>
  <c r="H155" i="1"/>
  <c r="G155" i="1"/>
  <c r="F155" i="1"/>
  <c r="E155" i="1"/>
  <c r="D155" i="1"/>
  <c r="C155" i="1"/>
  <c r="B155" i="1"/>
  <c r="J154" i="1"/>
  <c r="I154" i="1"/>
  <c r="H154" i="1"/>
  <c r="G154" i="1"/>
  <c r="F154" i="1"/>
  <c r="E154" i="1"/>
  <c r="D154" i="1"/>
  <c r="C154" i="1"/>
  <c r="B154" i="1"/>
  <c r="J153" i="1"/>
  <c r="I153" i="1"/>
  <c r="H153" i="1"/>
  <c r="G153" i="1"/>
  <c r="F153" i="1"/>
  <c r="E153" i="1"/>
  <c r="D153" i="1"/>
  <c r="C153" i="1"/>
  <c r="B153" i="1"/>
  <c r="J152" i="1"/>
  <c r="I152" i="1"/>
  <c r="H152" i="1"/>
  <c r="G152" i="1"/>
  <c r="F152" i="1"/>
  <c r="E152" i="1"/>
  <c r="D152" i="1"/>
  <c r="C152" i="1"/>
  <c r="B152" i="1"/>
  <c r="J151" i="1"/>
  <c r="I151" i="1"/>
  <c r="H151" i="1"/>
  <c r="G151" i="1"/>
  <c r="F151" i="1"/>
  <c r="E151" i="1"/>
  <c r="D151" i="1"/>
  <c r="C151" i="1"/>
  <c r="B151" i="1"/>
  <c r="J150" i="1"/>
  <c r="I150" i="1"/>
  <c r="H150" i="1"/>
  <c r="G150" i="1"/>
  <c r="F150" i="1"/>
  <c r="E150" i="1"/>
  <c r="D150" i="1"/>
  <c r="C150" i="1"/>
  <c r="B150" i="1"/>
  <c r="J149" i="1"/>
  <c r="I149" i="1"/>
  <c r="H149" i="1"/>
  <c r="G149" i="1"/>
  <c r="F149" i="1"/>
  <c r="E149" i="1"/>
  <c r="D149" i="1"/>
  <c r="C149" i="1"/>
  <c r="B149" i="1"/>
  <c r="J148" i="1"/>
  <c r="I148" i="1"/>
  <c r="H148" i="1"/>
  <c r="G148" i="1"/>
  <c r="F148" i="1"/>
  <c r="E148" i="1"/>
  <c r="D148" i="1"/>
  <c r="C148" i="1"/>
  <c r="B148" i="1"/>
  <c r="J147" i="1"/>
  <c r="I147" i="1"/>
  <c r="H147" i="1"/>
  <c r="G147" i="1"/>
  <c r="F147" i="1"/>
  <c r="E147" i="1"/>
  <c r="D147" i="1"/>
  <c r="C147" i="1"/>
  <c r="B147" i="1"/>
  <c r="J146" i="1"/>
  <c r="I146" i="1"/>
  <c r="H146" i="1"/>
  <c r="G146" i="1"/>
  <c r="F146" i="1"/>
  <c r="E146" i="1"/>
  <c r="D146" i="1"/>
  <c r="C146" i="1"/>
  <c r="B146" i="1"/>
  <c r="J145" i="1"/>
  <c r="I145" i="1"/>
  <c r="H145" i="1"/>
  <c r="G145" i="1"/>
  <c r="F145" i="1"/>
  <c r="E145" i="1"/>
  <c r="D145" i="1"/>
  <c r="C145" i="1"/>
  <c r="B145" i="1"/>
  <c r="J144" i="1"/>
  <c r="I144" i="1"/>
  <c r="H144" i="1"/>
  <c r="G144" i="1"/>
  <c r="F144" i="1"/>
  <c r="E144" i="1"/>
  <c r="D144" i="1"/>
  <c r="C144" i="1"/>
  <c r="B144" i="1"/>
  <c r="J143" i="1"/>
  <c r="I143" i="1"/>
  <c r="H143" i="1"/>
  <c r="G143" i="1"/>
  <c r="F143" i="1"/>
  <c r="E143" i="1"/>
  <c r="D143" i="1"/>
  <c r="C143" i="1"/>
  <c r="B143" i="1"/>
  <c r="J142" i="1"/>
  <c r="I142" i="1"/>
  <c r="H142" i="1"/>
  <c r="G142" i="1"/>
  <c r="F142" i="1"/>
  <c r="E142" i="1"/>
  <c r="D142" i="1"/>
  <c r="C142" i="1"/>
  <c r="B142" i="1"/>
  <c r="J141" i="1"/>
  <c r="I141" i="1"/>
  <c r="H141" i="1"/>
  <c r="G141" i="1"/>
  <c r="F141" i="1"/>
  <c r="E141" i="1"/>
  <c r="D141" i="1"/>
  <c r="C141" i="1"/>
  <c r="B141" i="1"/>
  <c r="J140" i="1"/>
  <c r="I140" i="1"/>
  <c r="H140" i="1"/>
  <c r="G140" i="1"/>
  <c r="F140" i="1"/>
  <c r="E140" i="1"/>
  <c r="D140" i="1"/>
  <c r="C140" i="1"/>
  <c r="B140" i="1"/>
  <c r="J139" i="1"/>
  <c r="I139" i="1"/>
  <c r="H139" i="1"/>
  <c r="G139" i="1"/>
  <c r="F139" i="1"/>
  <c r="E139" i="1"/>
  <c r="D139" i="1"/>
  <c r="C139" i="1"/>
  <c r="B139" i="1"/>
  <c r="J138" i="1"/>
  <c r="I138" i="1"/>
  <c r="H138" i="1"/>
  <c r="G138" i="1"/>
  <c r="F138" i="1"/>
  <c r="E138" i="1"/>
  <c r="D138" i="1"/>
  <c r="C138" i="1"/>
  <c r="B138" i="1"/>
  <c r="J137" i="1"/>
  <c r="I137" i="1"/>
  <c r="H137" i="1"/>
  <c r="G137" i="1"/>
  <c r="F137" i="1"/>
  <c r="E137" i="1"/>
  <c r="D137" i="1"/>
  <c r="C137" i="1"/>
  <c r="B137" i="1"/>
  <c r="J136" i="1"/>
  <c r="I136" i="1"/>
  <c r="H136" i="1"/>
  <c r="G136" i="1"/>
  <c r="F136" i="1"/>
  <c r="E136" i="1"/>
  <c r="D136" i="1"/>
  <c r="C136" i="1"/>
  <c r="B136" i="1"/>
  <c r="J135" i="1"/>
  <c r="I135" i="1"/>
  <c r="H135" i="1"/>
  <c r="G135" i="1"/>
  <c r="F135" i="1"/>
  <c r="E135" i="1"/>
  <c r="D135" i="1"/>
  <c r="C135" i="1"/>
  <c r="B135" i="1"/>
  <c r="J134" i="1"/>
  <c r="I134" i="1"/>
  <c r="H134" i="1"/>
  <c r="G134" i="1"/>
  <c r="F134" i="1"/>
  <c r="E134" i="1"/>
  <c r="D134" i="1"/>
  <c r="C134" i="1"/>
  <c r="B134" i="1"/>
  <c r="J133" i="1"/>
  <c r="I133" i="1"/>
  <c r="H133" i="1"/>
  <c r="G133" i="1"/>
  <c r="F133" i="1"/>
  <c r="E133" i="1"/>
  <c r="D133" i="1"/>
  <c r="C133" i="1"/>
  <c r="B133" i="1"/>
  <c r="J132" i="1"/>
  <c r="I132" i="1"/>
  <c r="H132" i="1"/>
  <c r="G132" i="1"/>
  <c r="F132" i="1"/>
  <c r="E132" i="1"/>
  <c r="D132" i="1"/>
  <c r="C132" i="1"/>
  <c r="B132" i="1"/>
  <c r="J131" i="1"/>
  <c r="I131" i="1"/>
  <c r="H131" i="1"/>
  <c r="G131" i="1"/>
  <c r="F131" i="1"/>
  <c r="E131" i="1"/>
  <c r="D131" i="1"/>
  <c r="C131" i="1"/>
  <c r="B131" i="1"/>
  <c r="O179" i="1"/>
  <c r="W133" i="2"/>
  <c r="W135" i="2" l="1"/>
  <c r="N220" i="2"/>
  <c r="U220" i="2"/>
  <c r="O135" i="2"/>
  <c r="N225" i="2"/>
  <c r="O225" i="2" s="1"/>
  <c r="P225" i="2" s="1"/>
  <c r="Q225" i="2" s="1"/>
  <c r="R225" i="2" s="1"/>
  <c r="S225" i="2" s="1"/>
  <c r="L220" i="2"/>
  <c r="N270" i="1"/>
  <c r="W270" i="1"/>
  <c r="O172" i="1"/>
  <c r="O176" i="1"/>
  <c r="Q276" i="1"/>
  <c r="R276" i="1" s="1"/>
  <c r="S276" i="1" s="1"/>
  <c r="T276" i="1" s="1"/>
  <c r="W172" i="1"/>
  <c r="O270" i="1"/>
  <c r="Q270" i="1"/>
  <c r="U270" i="1"/>
  <c r="P270" i="1"/>
  <c r="S270" i="1"/>
  <c r="T270" i="1"/>
  <c r="X270" i="1"/>
  <c r="W174" i="1"/>
  <c r="U276" i="1"/>
  <c r="V276" i="1" s="1"/>
  <c r="W276" i="1" s="1"/>
  <c r="T225" i="2" l="1"/>
  <c r="U225" i="2" s="1"/>
  <c r="V225" i="2" s="1"/>
  <c r="T228" i="2"/>
  <c r="U279" i="1"/>
</calcChain>
</file>

<file path=xl/sharedStrings.xml><?xml version="1.0" encoding="utf-8"?>
<sst xmlns="http://schemas.openxmlformats.org/spreadsheetml/2006/main" count="299" uniqueCount="67">
  <si>
    <t>全結核罹患数</t>
  </si>
  <si>
    <t>Tot</t>
  </si>
  <si>
    <t xml:space="preserve"> 0-14</t>
  </si>
  <si>
    <t xml:space="preserve"> 15-19</t>
  </si>
  <si>
    <t xml:space="preserve"> 20-</t>
  </si>
  <si>
    <t xml:space="preserve"> 30- </t>
  </si>
  <si>
    <t xml:space="preserve"> 40-</t>
  </si>
  <si>
    <t xml:space="preserve"> 50-</t>
  </si>
  <si>
    <t xml:space="preserve"> 60-</t>
  </si>
  <si>
    <t xml:space="preserve"> 70-</t>
  </si>
  <si>
    <t>人口×1000</t>
  </si>
  <si>
    <t>罹患率</t>
  </si>
  <si>
    <t>02</t>
    <phoneticPr fontId="2"/>
  </si>
  <si>
    <t>塗抹陽性罹患数</t>
  </si>
  <si>
    <t>塗抹陽性罹患率</t>
  </si>
  <si>
    <t>’９８、’９９：旧活動性分類の肺結核で、塗抹陽性罹患率</t>
  </si>
  <si>
    <t>00</t>
  </si>
  <si>
    <t>01</t>
  </si>
  <si>
    <t>02</t>
  </si>
  <si>
    <t>03</t>
    <phoneticPr fontId="2"/>
  </si>
  <si>
    <t>03</t>
    <phoneticPr fontId="2"/>
  </si>
  <si>
    <t xml:space="preserve"> '98以降は喀痰塗抹陽性</t>
    <rPh sb="4" eb="6">
      <t>イコウ</t>
    </rPh>
    <phoneticPr fontId="2"/>
  </si>
  <si>
    <t>９８以降は、新活動性分類の肺結核で、喀痰塗抹陽性罹患率</t>
    <rPh sb="2" eb="4">
      <t>イコウ</t>
    </rPh>
    <phoneticPr fontId="2"/>
  </si>
  <si>
    <t>80-</t>
    <phoneticPr fontId="2"/>
  </si>
  <si>
    <t>04</t>
    <phoneticPr fontId="2"/>
  </si>
  <si>
    <t>80-</t>
    <phoneticPr fontId="2"/>
  </si>
  <si>
    <t>n70-</t>
    <phoneticPr fontId="2"/>
  </si>
  <si>
    <t>n80-</t>
    <phoneticPr fontId="2"/>
  </si>
  <si>
    <t>05</t>
    <phoneticPr fontId="2"/>
  </si>
  <si>
    <t>05</t>
    <phoneticPr fontId="2"/>
  </si>
  <si>
    <t>06</t>
    <phoneticPr fontId="2"/>
  </si>
  <si>
    <t>前年に対する減少率（％）</t>
    <rPh sb="0" eb="2">
      <t>ゼンネン</t>
    </rPh>
    <rPh sb="3" eb="4">
      <t>タイ</t>
    </rPh>
    <rPh sb="6" eb="8">
      <t>ゲンショウ</t>
    </rPh>
    <rPh sb="8" eb="9">
      <t>リツ</t>
    </rPh>
    <phoneticPr fontId="2"/>
  </si>
  <si>
    <t>07</t>
    <phoneticPr fontId="2"/>
  </si>
  <si>
    <t>90+</t>
    <phoneticPr fontId="2"/>
  </si>
  <si>
    <t>90+</t>
    <phoneticPr fontId="2"/>
  </si>
  <si>
    <t>n90-</t>
    <phoneticPr fontId="2"/>
  </si>
  <si>
    <t>n80-</t>
    <phoneticPr fontId="2"/>
  </si>
  <si>
    <t>90-</t>
    <phoneticPr fontId="2"/>
  </si>
  <si>
    <t>tot</t>
    <phoneticPr fontId="2"/>
  </si>
  <si>
    <t>0-</t>
    <phoneticPr fontId="2"/>
  </si>
  <si>
    <t>15-</t>
    <phoneticPr fontId="2"/>
  </si>
  <si>
    <t>20-</t>
    <phoneticPr fontId="2"/>
  </si>
  <si>
    <t>30-</t>
    <phoneticPr fontId="2"/>
  </si>
  <si>
    <t>40-</t>
    <phoneticPr fontId="2"/>
  </si>
  <si>
    <t>50-</t>
    <phoneticPr fontId="2"/>
  </si>
  <si>
    <t>60-</t>
    <phoneticPr fontId="2"/>
  </si>
  <si>
    <t>70-</t>
    <phoneticPr fontId="2"/>
  </si>
  <si>
    <t>80-</t>
    <phoneticPr fontId="2"/>
  </si>
  <si>
    <t>90+</t>
    <phoneticPr fontId="2"/>
  </si>
  <si>
    <t>08</t>
    <phoneticPr fontId="2"/>
  </si>
  <si>
    <t>過去５年平均</t>
    <rPh sb="0" eb="2">
      <t>カコ</t>
    </rPh>
    <rPh sb="3" eb="4">
      <t>ネン</t>
    </rPh>
    <rPh sb="4" eb="6">
      <t>ヘイキン</t>
    </rPh>
    <phoneticPr fontId="2"/>
  </si>
  <si>
    <t>09</t>
    <phoneticPr fontId="2"/>
  </si>
  <si>
    <t>平均年齢（中央値）</t>
    <rPh sb="0" eb="2">
      <t>ヘイキン</t>
    </rPh>
    <rPh sb="2" eb="4">
      <t>ネンレイ</t>
    </rPh>
    <rPh sb="5" eb="8">
      <t>チュウオウチ</t>
    </rPh>
    <phoneticPr fontId="2"/>
  </si>
  <si>
    <t>10</t>
    <phoneticPr fontId="2"/>
  </si>
  <si>
    <t>2005-2010(6年分）</t>
    <rPh sb="11" eb="13">
      <t>ネンブン</t>
    </rPh>
    <phoneticPr fontId="2"/>
  </si>
  <si>
    <t>05</t>
    <phoneticPr fontId="2"/>
  </si>
  <si>
    <t>Note: All forms of TB notification rates in 1962-1997</t>
    <phoneticPr fontId="2"/>
  </si>
  <si>
    <t>(new criteria applied since 1998)</t>
    <phoneticPr fontId="2"/>
  </si>
  <si>
    <t>The group of "70 yrs old or more" was divided and "70 to 79"</t>
    <phoneticPr fontId="2"/>
  </si>
  <si>
    <t>"80 yrs old or more" in 1987.</t>
    <phoneticPr fontId="2"/>
  </si>
  <si>
    <t>to 89 yrs old" and "90 yrs old or more" in 2003.</t>
    <phoneticPr fontId="2"/>
  </si>
  <si>
    <t>Note: Smear-positive notification rates in 1975-1978.</t>
  </si>
  <si>
    <t>Smear-positive pulmonary notification rates in 1979-1997.</t>
  </si>
  <si>
    <t>Sputum smear-positive pulmonary notification rates since 1998</t>
  </si>
  <si>
    <t>(new criteria applied since 1998)</t>
  </si>
  <si>
    <t xml:space="preserve">The age group of "80 yrs old or more "who divided into "80 </t>
    <phoneticPr fontId="2"/>
  </si>
  <si>
    <t>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</si>
</sst>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.00_ "/>
    <numFmt numFmtId="178" formatCode="0.0_ "/>
    <numFmt numFmtId="179" formatCode="0_ "/>
    <numFmt numFmtId="180" formatCode="0.00_);[Red]\(0.00\)"/>
    <numFmt numFmtId="181" formatCode="#,##0_ ;[Red]\-#,##0\ "/>
    <numFmt numFmtId="182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0"/>
      <name val="Cambria"/>
      <family val="1"/>
    </font>
    <font>
      <sz val="9"/>
      <name val="Cambria"/>
      <family val="1"/>
    </font>
    <font>
      <sz val="9"/>
      <name val="Calibri"/>
      <family val="2"/>
    </font>
    <font>
      <sz val="11"/>
      <color theme="1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quotePrefix="1"/>
    <xf numFmtId="2" fontId="0" fillId="0" borderId="0" xfId="0" applyNumberFormat="1"/>
    <xf numFmtId="176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4" borderId="0" xfId="0" applyFill="1"/>
    <xf numFmtId="0" fontId="0" fillId="3" borderId="0" xfId="0" applyFill="1"/>
    <xf numFmtId="177" fontId="0" fillId="3" borderId="0" xfId="0" applyNumberFormat="1" applyFill="1"/>
    <xf numFmtId="0" fontId="0" fillId="5" borderId="0" xfId="0" applyFill="1"/>
    <xf numFmtId="2" fontId="0" fillId="0" borderId="1" xfId="0" applyNumberFormat="1" applyBorder="1"/>
    <xf numFmtId="2" fontId="0" fillId="0" borderId="2" xfId="0" applyNumberFormat="1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0" fontId="0" fillId="0" borderId="5" xfId="0" applyBorder="1"/>
    <xf numFmtId="2" fontId="0" fillId="3" borderId="0" xfId="0" applyNumberFormat="1" applyFill="1"/>
    <xf numFmtId="0" fontId="0" fillId="0" borderId="7" xfId="0" applyBorder="1"/>
    <xf numFmtId="177" fontId="0" fillId="0" borderId="0" xfId="0" applyNumberFormat="1"/>
    <xf numFmtId="177" fontId="0" fillId="5" borderId="0" xfId="0" applyNumberFormat="1" applyFill="1"/>
    <xf numFmtId="38" fontId="0" fillId="0" borderId="0" xfId="1" applyFont="1" applyFill="1" applyAlignment="1">
      <alignment shrinkToFit="1"/>
    </xf>
    <xf numFmtId="176" fontId="0" fillId="4" borderId="0" xfId="0" applyNumberFormat="1" applyFill="1"/>
    <xf numFmtId="0" fontId="0" fillId="0" borderId="6" xfId="0" applyBorder="1"/>
    <xf numFmtId="176" fontId="0" fillId="0" borderId="7" xfId="0" applyNumberFormat="1" applyBorder="1"/>
    <xf numFmtId="2" fontId="0" fillId="4" borderId="0" xfId="0" applyNumberFormat="1" applyFill="1"/>
    <xf numFmtId="177" fontId="0" fillId="4" borderId="0" xfId="0" applyNumberFormat="1" applyFill="1"/>
    <xf numFmtId="0" fontId="0" fillId="6" borderId="0" xfId="0" applyFill="1"/>
    <xf numFmtId="176" fontId="0" fillId="6" borderId="0" xfId="0" applyNumberFormat="1" applyFill="1"/>
    <xf numFmtId="38" fontId="0" fillId="6" borderId="0" xfId="1" applyFont="1" applyFill="1" applyAlignment="1">
      <alignment shrinkToFit="1"/>
    </xf>
    <xf numFmtId="0" fontId="0" fillId="0" borderId="4" xfId="0" applyBorder="1"/>
    <xf numFmtId="0" fontId="0" fillId="7" borderId="0" xfId="0" applyFill="1"/>
    <xf numFmtId="0" fontId="3" fillId="7" borderId="0" xfId="0" applyFont="1" applyFill="1"/>
    <xf numFmtId="177" fontId="0" fillId="0" borderId="1" xfId="0" applyNumberFormat="1" applyBorder="1"/>
    <xf numFmtId="177" fontId="0" fillId="0" borderId="2" xfId="0" applyNumberFormat="1" applyBorder="1"/>
    <xf numFmtId="178" fontId="0" fillId="0" borderId="4" xfId="0" applyNumberFormat="1" applyBorder="1"/>
    <xf numFmtId="178" fontId="0" fillId="0" borderId="0" xfId="0" applyNumberFormat="1"/>
    <xf numFmtId="178" fontId="0" fillId="0" borderId="5" xfId="0" applyNumberFormat="1" applyBorder="1"/>
    <xf numFmtId="0" fontId="0" fillId="6" borderId="0" xfId="0" quotePrefix="1" applyFill="1" applyAlignment="1">
      <alignment horizontal="right"/>
    </xf>
    <xf numFmtId="2" fontId="0" fillId="6" borderId="0" xfId="0" applyNumberFormat="1" applyFill="1"/>
    <xf numFmtId="177" fontId="0" fillId="6" borderId="0" xfId="0" applyNumberFormat="1" applyFill="1"/>
    <xf numFmtId="2" fontId="0" fillId="4" borderId="2" xfId="0" applyNumberFormat="1" applyFill="1" applyBorder="1"/>
    <xf numFmtId="177" fontId="0" fillId="6" borderId="5" xfId="0" applyNumberFormat="1" applyFill="1" applyBorder="1"/>
    <xf numFmtId="0" fontId="0" fillId="8" borderId="0" xfId="0" applyFill="1"/>
    <xf numFmtId="178" fontId="0" fillId="8" borderId="0" xfId="0" applyNumberFormat="1" applyFill="1"/>
    <xf numFmtId="178" fontId="0" fillId="4" borderId="4" xfId="0" applyNumberFormat="1" applyFill="1" applyBorder="1"/>
    <xf numFmtId="178" fontId="0" fillId="4" borderId="0" xfId="0" applyNumberFormat="1" applyFill="1"/>
    <xf numFmtId="178" fontId="0" fillId="4" borderId="5" xfId="0" applyNumberFormat="1" applyFill="1" applyBorder="1"/>
    <xf numFmtId="178" fontId="0" fillId="4" borderId="6" xfId="0" applyNumberFormat="1" applyFill="1" applyBorder="1"/>
    <xf numFmtId="178" fontId="0" fillId="4" borderId="7" xfId="0" applyNumberFormat="1" applyFill="1" applyBorder="1"/>
    <xf numFmtId="178" fontId="0" fillId="4" borderId="8" xfId="0" applyNumberFormat="1" applyFill="1" applyBorder="1"/>
    <xf numFmtId="0" fontId="0" fillId="9" borderId="0" xfId="0" applyFill="1"/>
    <xf numFmtId="0" fontId="0" fillId="10" borderId="0" xfId="0" applyFill="1"/>
    <xf numFmtId="38" fontId="0" fillId="9" borderId="0" xfId="1" applyFont="1" applyFill="1" applyAlignment="1">
      <alignment shrinkToFit="1"/>
    </xf>
    <xf numFmtId="0" fontId="0" fillId="9" borderId="0" xfId="0" quotePrefix="1" applyFill="1" applyAlignment="1">
      <alignment horizontal="right"/>
    </xf>
    <xf numFmtId="38" fontId="0" fillId="10" borderId="0" xfId="1" applyFont="1" applyFill="1"/>
    <xf numFmtId="177" fontId="0" fillId="9" borderId="0" xfId="0" applyNumberFormat="1" applyFill="1"/>
    <xf numFmtId="177" fontId="0" fillId="9" borderId="5" xfId="0" applyNumberFormat="1" applyFill="1" applyBorder="1"/>
    <xf numFmtId="177" fontId="0" fillId="10" borderId="0" xfId="0" applyNumberFormat="1" applyFill="1"/>
    <xf numFmtId="38" fontId="0" fillId="0" borderId="0" xfId="1" applyFont="1" applyFill="1"/>
    <xf numFmtId="38" fontId="0" fillId="9" borderId="0" xfId="1" applyFont="1" applyFill="1"/>
    <xf numFmtId="176" fontId="0" fillId="9" borderId="0" xfId="0" applyNumberFormat="1" applyFill="1"/>
    <xf numFmtId="179" fontId="0" fillId="0" borderId="0" xfId="0" applyNumberFormat="1"/>
    <xf numFmtId="177" fontId="0" fillId="0" borderId="7" xfId="0" applyNumberFormat="1" applyBorder="1"/>
    <xf numFmtId="177" fontId="0" fillId="9" borderId="8" xfId="0" applyNumberFormat="1" applyFill="1" applyBorder="1"/>
    <xf numFmtId="180" fontId="0" fillId="0" borderId="0" xfId="0" applyNumberFormat="1"/>
    <xf numFmtId="180" fontId="0" fillId="10" borderId="7" xfId="0" applyNumberFormat="1" applyFill="1" applyBorder="1"/>
    <xf numFmtId="38" fontId="0" fillId="0" borderId="0" xfId="0" applyNumberFormat="1"/>
    <xf numFmtId="38" fontId="4" fillId="10" borderId="0" xfId="1" applyFont="1" applyFill="1" applyAlignment="1">
      <alignment vertical="center"/>
    </xf>
    <xf numFmtId="180" fontId="0" fillId="9" borderId="7" xfId="0" applyNumberFormat="1" applyFill="1" applyBorder="1"/>
    <xf numFmtId="180" fontId="0" fillId="0" borderId="7" xfId="0" applyNumberFormat="1" applyBorder="1"/>
    <xf numFmtId="180" fontId="0" fillId="9" borderId="0" xfId="0" applyNumberFormat="1" applyFill="1"/>
    <xf numFmtId="38" fontId="5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6" fillId="7" borderId="0" xfId="0" applyFont="1" applyFill="1"/>
    <xf numFmtId="0" fontId="7" fillId="0" borderId="0" xfId="0" applyFont="1"/>
    <xf numFmtId="0" fontId="8" fillId="7" borderId="0" xfId="0" applyFont="1" applyFill="1"/>
    <xf numFmtId="0" fontId="8" fillId="0" borderId="0" xfId="0" applyFont="1"/>
    <xf numFmtId="38" fontId="4" fillId="0" borderId="0" xfId="1" applyFont="1" applyFill="1" applyAlignment="1">
      <alignment vertical="center"/>
    </xf>
    <xf numFmtId="180" fontId="0" fillId="10" borderId="8" xfId="0" applyNumberFormat="1" applyFill="1" applyBorder="1"/>
    <xf numFmtId="38" fontId="4" fillId="9" borderId="0" xfId="1" applyFont="1" applyFill="1" applyAlignment="1">
      <alignment vertical="center"/>
    </xf>
    <xf numFmtId="0" fontId="4" fillId="9" borderId="0" xfId="0" applyFont="1" applyFill="1" applyAlignment="1">
      <alignment vertical="center"/>
    </xf>
    <xf numFmtId="38" fontId="9" fillId="0" borderId="0" xfId="1" applyFont="1" applyAlignment="1">
      <alignment vertical="center"/>
    </xf>
    <xf numFmtId="2" fontId="0" fillId="0" borderId="7" xfId="0" applyNumberFormat="1" applyBorder="1"/>
    <xf numFmtId="38" fontId="9" fillId="9" borderId="0" xfId="1" applyFont="1" applyFill="1" applyAlignment="1">
      <alignment vertical="center"/>
    </xf>
    <xf numFmtId="181" fontId="0" fillId="0" borderId="0" xfId="1" applyNumberFormat="1" applyFont="1" applyFill="1"/>
    <xf numFmtId="182" fontId="0" fillId="10" borderId="0" xfId="1" applyNumberFormat="1" applyFont="1" applyFill="1"/>
    <xf numFmtId="180" fontId="0" fillId="9" borderId="5" xfId="0" applyNumberFormat="1" applyFill="1" applyBorder="1"/>
    <xf numFmtId="182" fontId="0" fillId="0" borderId="0" xfId="1" applyNumberFormat="1" applyFont="1" applyFill="1"/>
    <xf numFmtId="178" fontId="0" fillId="2" borderId="6" xfId="0" applyNumberFormat="1" applyFill="1" applyBorder="1"/>
    <xf numFmtId="178" fontId="0" fillId="2" borderId="7" xfId="0" applyNumberFormat="1" applyFill="1" applyBorder="1"/>
    <xf numFmtId="178" fontId="0" fillId="2" borderId="8" xfId="0" applyNumberFormat="1" applyFill="1" applyBorder="1"/>
    <xf numFmtId="38" fontId="9" fillId="0" borderId="0" xfId="1" applyFont="1" applyFill="1" applyAlignment="1">
      <alignment vertical="center"/>
    </xf>
    <xf numFmtId="38" fontId="9" fillId="10" borderId="0" xfId="1" applyFont="1" applyFill="1" applyAlignment="1">
      <alignment vertical="center"/>
    </xf>
    <xf numFmtId="49" fontId="0" fillId="0" borderId="0" xfId="0" quotePrefix="1" applyNumberFormat="1" applyAlignment="1">
      <alignment horizontal="right"/>
    </xf>
    <xf numFmtId="180" fontId="0" fillId="10" borderId="0" xfId="0" applyNumberFormat="1" applyFill="1"/>
    <xf numFmtId="180" fontId="0" fillId="10" borderId="5" xfId="0" applyNumberFormat="1" applyFill="1" applyBorder="1"/>
    <xf numFmtId="177" fontId="0" fillId="11" borderId="7" xfId="0" applyNumberFormat="1" applyFill="1" applyBorder="1"/>
    <xf numFmtId="1" fontId="0" fillId="0" borderId="7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99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r>
              <a:rPr lang="en-US" altLang="ja-JP" sz="1200" b="0">
                <a:solidFill>
                  <a:sysClr val="windowText" lastClr="000000"/>
                </a:solidFill>
                <a:latin typeface="+mj-lt"/>
              </a:rPr>
              <a:t>Trends of notification</a:t>
            </a:r>
            <a:r>
              <a:rPr lang="en-US" altLang="ja-JP" sz="1200" b="0" baseline="0">
                <a:solidFill>
                  <a:sysClr val="windowText" lastClr="000000"/>
                </a:solidFill>
                <a:latin typeface="+mj-lt"/>
              </a:rPr>
              <a:t> rates for all forms of TB by </a:t>
            </a:r>
          </a:p>
          <a:p>
            <a:pPr>
              <a:defRPr sz="1200" b="0">
                <a:solidFill>
                  <a:sysClr val="windowText" lastClr="000000"/>
                </a:solidFill>
              </a:defRPr>
            </a:pPr>
            <a:r>
              <a:rPr lang="en-US" altLang="ja-JP" sz="1200" b="0" baseline="0">
                <a:solidFill>
                  <a:sysClr val="windowText" lastClr="000000"/>
                </a:solidFill>
                <a:latin typeface="+mj-lt"/>
              </a:rPr>
              <a:t>age group in Japan, 1962-2022</a:t>
            </a:r>
            <a:endParaRPr lang="ja-JP" sz="1200" b="0">
              <a:solidFill>
                <a:sysClr val="windowText" lastClr="000000"/>
              </a:solidFill>
              <a:latin typeface="+mj-lt"/>
            </a:endParaRPr>
          </a:p>
        </c:rich>
      </c:tx>
      <c:layout>
        <c:manualLayout>
          <c:xMode val="edge"/>
          <c:yMode val="edge"/>
          <c:x val="0.2086195798639448"/>
          <c:y val="2.631579274504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63793103448282"/>
          <c:y val="9.928229665071768E-2"/>
          <c:w val="0.68318965517241381"/>
          <c:h val="0.84569377990430661"/>
        </c:manualLayout>
      </c:layout>
      <c:lineChart>
        <c:grouping val="standard"/>
        <c:varyColors val="0"/>
        <c:ser>
          <c:idx val="0"/>
          <c:order val="0"/>
          <c:tx>
            <c:v>年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Notification!$A$193:$A$251</c:f>
              <c:numCache>
                <c:formatCode>General</c:formatCode>
                <c:ptCount val="59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</c:v>
                </c:pt>
                <c:pt idx="48">
                  <c:v>10</c:v>
                </c:pt>
                <c:pt idx="5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E-4AA7-ABE2-D7C2A4C373BF}"/>
            </c:ext>
          </c:extLst>
        </c:ser>
        <c:ser>
          <c:idx val="1"/>
          <c:order val="1"/>
          <c:tx>
            <c:v>total前半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Notification!$B$193:$B$250</c:f>
              <c:numCache>
                <c:formatCode>0.00</c:formatCode>
                <c:ptCount val="58"/>
                <c:pt idx="0">
                  <c:v>402.34525706617461</c:v>
                </c:pt>
                <c:pt idx="1">
                  <c:v>385.91768539465767</c:v>
                </c:pt>
                <c:pt idx="2">
                  <c:v>354.8923930350814</c:v>
                </c:pt>
                <c:pt idx="3">
                  <c:v>309.7379153233598</c:v>
                </c:pt>
                <c:pt idx="4">
                  <c:v>280.97093227571668</c:v>
                </c:pt>
                <c:pt idx="5">
                  <c:v>251.60960907369403</c:v>
                </c:pt>
                <c:pt idx="6">
                  <c:v>223.45637912464505</c:v>
                </c:pt>
                <c:pt idx="7">
                  <c:v>193.30161124973404</c:v>
                </c:pt>
                <c:pt idx="8">
                  <c:v>170.96287237498328</c:v>
                </c:pt>
                <c:pt idx="9">
                  <c:v>149.19161620163374</c:v>
                </c:pt>
                <c:pt idx="10">
                  <c:v>137.796427041225</c:v>
                </c:pt>
                <c:pt idx="11">
                  <c:v>118.48036059240181</c:v>
                </c:pt>
                <c:pt idx="12">
                  <c:v>106.65067379076594</c:v>
                </c:pt>
                <c:pt idx="13">
                  <c:v>96.564046670359318</c:v>
                </c:pt>
                <c:pt idx="14">
                  <c:v>86.59250481934103</c:v>
                </c:pt>
                <c:pt idx="15">
                  <c:v>78.17947684706624</c:v>
                </c:pt>
                <c:pt idx="16">
                  <c:v>70.006251410908718</c:v>
                </c:pt>
                <c:pt idx="17">
                  <c:v>65.834000671643722</c:v>
                </c:pt>
                <c:pt idx="18">
                  <c:v>60.655513360019157</c:v>
                </c:pt>
                <c:pt idx="19">
                  <c:v>55.874418920294524</c:v>
                </c:pt>
                <c:pt idx="20">
                  <c:v>53.870068159032122</c:v>
                </c:pt>
                <c:pt idx="21">
                  <c:v>51.907802783659598</c:v>
                </c:pt>
                <c:pt idx="22">
                  <c:v>51.167297375972055</c:v>
                </c:pt>
                <c:pt idx="23">
                  <c:v>48.392081040437589</c:v>
                </c:pt>
                <c:pt idx="24">
                  <c:v>46.592478137944639</c:v>
                </c:pt>
                <c:pt idx="25">
                  <c:v>46.208205195315053</c:v>
                </c:pt>
                <c:pt idx="26">
                  <c:v>44.270786672422076</c:v>
                </c:pt>
                <c:pt idx="27">
                  <c:v>43.09115248874285</c:v>
                </c:pt>
                <c:pt idx="28">
                  <c:v>41.922983577380471</c:v>
                </c:pt>
                <c:pt idx="29">
                  <c:v>40.801979958562754</c:v>
                </c:pt>
                <c:pt idx="30">
                  <c:v>39.337254523832485</c:v>
                </c:pt>
                <c:pt idx="31">
                  <c:v>38.021384373697543</c:v>
                </c:pt>
                <c:pt idx="32">
                  <c:v>35.662299854439595</c:v>
                </c:pt>
                <c:pt idx="33">
                  <c:v>34.306238004603046</c:v>
                </c:pt>
                <c:pt idx="34">
                  <c:v>33.744358990656579</c:v>
                </c:pt>
                <c:pt idx="35">
                  <c:v>33.856189464673527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E-4AA7-ABE2-D7C2A4C373BF}"/>
            </c:ext>
          </c:extLst>
        </c:ser>
        <c:ser>
          <c:idx val="2"/>
          <c:order val="2"/>
          <c:tx>
            <c:v>0-14前半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Notification!$C$193:$C$250</c:f>
              <c:numCache>
                <c:formatCode>0.00</c:formatCode>
                <c:ptCount val="58"/>
                <c:pt idx="0">
                  <c:v>189.13753082837661</c:v>
                </c:pt>
                <c:pt idx="1">
                  <c:v>209.9468005394875</c:v>
                </c:pt>
                <c:pt idx="2">
                  <c:v>199.5713458196563</c:v>
                </c:pt>
                <c:pt idx="3">
                  <c:v>176.76242298151556</c:v>
                </c:pt>
                <c:pt idx="4">
                  <c:v>179.0315250175598</c:v>
                </c:pt>
                <c:pt idx="5">
                  <c:v>166.47828059898518</c:v>
                </c:pt>
                <c:pt idx="6">
                  <c:v>140.26503567787972</c:v>
                </c:pt>
                <c:pt idx="7">
                  <c:v>95.016837716484929</c:v>
                </c:pt>
                <c:pt idx="8">
                  <c:v>72.388415943989173</c:v>
                </c:pt>
                <c:pt idx="9">
                  <c:v>60.20542635658915</c:v>
                </c:pt>
                <c:pt idx="10">
                  <c:v>50.461385304590877</c:v>
                </c:pt>
                <c:pt idx="11">
                  <c:v>36.141571504197231</c:v>
                </c:pt>
                <c:pt idx="12">
                  <c:v>26.364008789244348</c:v>
                </c:pt>
                <c:pt idx="13">
                  <c:v>18.039057040932661</c:v>
                </c:pt>
                <c:pt idx="14">
                  <c:v>14.492806410489893</c:v>
                </c:pt>
                <c:pt idx="15">
                  <c:v>11.320072332730561</c:v>
                </c:pt>
                <c:pt idx="16">
                  <c:v>9.3474808719503386</c:v>
                </c:pt>
                <c:pt idx="17">
                  <c:v>8.5092539039907464</c:v>
                </c:pt>
                <c:pt idx="18">
                  <c:v>6.8753859005556972</c:v>
                </c:pt>
                <c:pt idx="19">
                  <c:v>6.093540557185813</c:v>
                </c:pt>
                <c:pt idx="20">
                  <c:v>5.3606810009539885</c:v>
                </c:pt>
                <c:pt idx="21">
                  <c:v>4.6231603983945293</c:v>
                </c:pt>
                <c:pt idx="22">
                  <c:v>4.6143978267431329</c:v>
                </c:pt>
                <c:pt idx="23">
                  <c:v>4.1695408906261973</c:v>
                </c:pt>
                <c:pt idx="24">
                  <c:v>3.3813006212156957</c:v>
                </c:pt>
                <c:pt idx="25">
                  <c:v>2.9132464187992917</c:v>
                </c:pt>
                <c:pt idx="26">
                  <c:v>2.8225974567437984</c:v>
                </c:pt>
                <c:pt idx="27">
                  <c:v>2.5948275862068964</c:v>
                </c:pt>
                <c:pt idx="28">
                  <c:v>2.3032458870609158</c:v>
                </c:pt>
                <c:pt idx="29">
                  <c:v>2.0772461650840031</c:v>
                </c:pt>
                <c:pt idx="30">
                  <c:v>2.0876240404418649</c:v>
                </c:pt>
                <c:pt idx="31">
                  <c:v>2.0824336644114965</c:v>
                </c:pt>
                <c:pt idx="32">
                  <c:v>1.8467718232585482</c:v>
                </c:pt>
                <c:pt idx="33">
                  <c:v>1.7035775127768313</c:v>
                </c:pt>
                <c:pt idx="34">
                  <c:v>1.5290053845372347</c:v>
                </c:pt>
                <c:pt idx="35">
                  <c:v>1.4716513477228133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1E-4AA7-ABE2-D7C2A4C373BF}"/>
            </c:ext>
          </c:extLst>
        </c:ser>
        <c:ser>
          <c:idx val="3"/>
          <c:order val="3"/>
          <c:tx>
            <c:v>15-19前半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Notification!$D$193:$D$250</c:f>
              <c:numCache>
                <c:formatCode>0.00</c:formatCode>
                <c:ptCount val="58"/>
                <c:pt idx="0">
                  <c:v>218.70200108166577</c:v>
                </c:pt>
                <c:pt idx="1">
                  <c:v>211.79278821736924</c:v>
                </c:pt>
                <c:pt idx="2">
                  <c:v>187.29132490591527</c:v>
                </c:pt>
                <c:pt idx="3">
                  <c:v>148.9940828402367</c:v>
                </c:pt>
                <c:pt idx="4">
                  <c:v>131.99930094372596</c:v>
                </c:pt>
                <c:pt idx="5">
                  <c:v>116.29944013003431</c:v>
                </c:pt>
                <c:pt idx="6">
                  <c:v>95.898269433024183</c:v>
                </c:pt>
                <c:pt idx="7">
                  <c:v>78.100535640708699</c:v>
                </c:pt>
                <c:pt idx="8">
                  <c:v>65.388804182095399</c:v>
                </c:pt>
                <c:pt idx="9">
                  <c:v>57.363351514448183</c:v>
                </c:pt>
                <c:pt idx="10">
                  <c:v>51.8694927363658</c:v>
                </c:pt>
                <c:pt idx="11">
                  <c:v>43.497428361498898</c:v>
                </c:pt>
                <c:pt idx="12">
                  <c:v>36.821897448600446</c:v>
                </c:pt>
                <c:pt idx="13">
                  <c:v>32.780660675863814</c:v>
                </c:pt>
                <c:pt idx="14">
                  <c:v>30.301877219685437</c:v>
                </c:pt>
                <c:pt idx="15">
                  <c:v>25.54955407612109</c:v>
                </c:pt>
                <c:pt idx="16">
                  <c:v>21.55419733067232</c:v>
                </c:pt>
                <c:pt idx="17">
                  <c:v>20.066931085770946</c:v>
                </c:pt>
                <c:pt idx="18">
                  <c:v>18.509965969859017</c:v>
                </c:pt>
                <c:pt idx="19">
                  <c:v>16.241413150147203</c:v>
                </c:pt>
                <c:pt idx="20">
                  <c:v>13.655811742334205</c:v>
                </c:pt>
                <c:pt idx="21">
                  <c:v>14.915332869403851</c:v>
                </c:pt>
                <c:pt idx="22">
                  <c:v>14.971687429218573</c:v>
                </c:pt>
                <c:pt idx="23">
                  <c:v>12.603075551593493</c:v>
                </c:pt>
                <c:pt idx="24">
                  <c:v>11.21858900220797</c:v>
                </c:pt>
                <c:pt idx="25">
                  <c:v>13.62781954887218</c:v>
                </c:pt>
                <c:pt idx="26">
                  <c:v>11.102123356926189</c:v>
                </c:pt>
                <c:pt idx="27">
                  <c:v>10.412926391382406</c:v>
                </c:pt>
                <c:pt idx="28">
                  <c:v>9.9101796407185621</c:v>
                </c:pt>
                <c:pt idx="29">
                  <c:v>9.6484138209739339</c:v>
                </c:pt>
                <c:pt idx="30">
                  <c:v>8.967165419783873</c:v>
                </c:pt>
                <c:pt idx="31">
                  <c:v>8.3216405828386399</c:v>
                </c:pt>
                <c:pt idx="32">
                  <c:v>7.285440396977557</c:v>
                </c:pt>
                <c:pt idx="33">
                  <c:v>7.0238788584740828</c:v>
                </c:pt>
                <c:pt idx="34">
                  <c:v>6.7572485745481012</c:v>
                </c:pt>
                <c:pt idx="35">
                  <c:v>6.4334790755777638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1E-4AA7-ABE2-D7C2A4C373BF}"/>
            </c:ext>
          </c:extLst>
        </c:ser>
        <c:ser>
          <c:idx val="4"/>
          <c:order val="4"/>
          <c:tx>
            <c:v>20-前半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Notification!$E$193:$E$250</c:f>
              <c:numCache>
                <c:formatCode>0.00</c:formatCode>
                <c:ptCount val="58"/>
                <c:pt idx="0">
                  <c:v>412.71748135874066</c:v>
                </c:pt>
                <c:pt idx="1">
                  <c:v>395.85552888836855</c:v>
                </c:pt>
                <c:pt idx="2">
                  <c:v>354.05953208246467</c:v>
                </c:pt>
                <c:pt idx="3">
                  <c:v>285.74457113390247</c:v>
                </c:pt>
                <c:pt idx="4">
                  <c:v>241.82183075036235</c:v>
                </c:pt>
                <c:pt idx="5">
                  <c:v>204.90174791010747</c:v>
                </c:pt>
                <c:pt idx="6">
                  <c:v>173.71343946686412</c:v>
                </c:pt>
                <c:pt idx="7">
                  <c:v>152.323242741478</c:v>
                </c:pt>
                <c:pt idx="8">
                  <c:v>130.28275306902796</c:v>
                </c:pt>
                <c:pt idx="9">
                  <c:v>115.48062405636638</c:v>
                </c:pt>
                <c:pt idx="10">
                  <c:v>106.28807330211951</c:v>
                </c:pt>
                <c:pt idx="11">
                  <c:v>89.368988266102633</c:v>
                </c:pt>
                <c:pt idx="12">
                  <c:v>78.993992465125757</c:v>
                </c:pt>
                <c:pt idx="13">
                  <c:v>70.202425092694654</c:v>
                </c:pt>
                <c:pt idx="14">
                  <c:v>61.726303199441844</c:v>
                </c:pt>
                <c:pt idx="15">
                  <c:v>53.935510756889094</c:v>
                </c:pt>
                <c:pt idx="16">
                  <c:v>46.766630316248637</c:v>
                </c:pt>
                <c:pt idx="17">
                  <c:v>41.61437535653166</c:v>
                </c:pt>
                <c:pt idx="18">
                  <c:v>37.962908099780769</c:v>
                </c:pt>
                <c:pt idx="19">
                  <c:v>34.09284756914829</c:v>
                </c:pt>
                <c:pt idx="20">
                  <c:v>31.430168986083498</c:v>
                </c:pt>
                <c:pt idx="21">
                  <c:v>30.348851800727822</c:v>
                </c:pt>
                <c:pt idx="22">
                  <c:v>29.851308112177676</c:v>
                </c:pt>
                <c:pt idx="23">
                  <c:v>28.063733117570173</c:v>
                </c:pt>
                <c:pt idx="24">
                  <c:v>26.390114739629304</c:v>
                </c:pt>
                <c:pt idx="25">
                  <c:v>27.130681818181817</c:v>
                </c:pt>
                <c:pt idx="26">
                  <c:v>26.818899550589094</c:v>
                </c:pt>
                <c:pt idx="27">
                  <c:v>25.871537726838586</c:v>
                </c:pt>
                <c:pt idx="28">
                  <c:v>25.078901227352425</c:v>
                </c:pt>
                <c:pt idx="29">
                  <c:v>25.139568345323742</c:v>
                </c:pt>
                <c:pt idx="30">
                  <c:v>23.855678189254299</c:v>
                </c:pt>
                <c:pt idx="31">
                  <c:v>23.588874924867493</c:v>
                </c:pt>
                <c:pt idx="32">
                  <c:v>20.527387715725158</c:v>
                </c:pt>
                <c:pt idx="33">
                  <c:v>20.841705131686126</c:v>
                </c:pt>
                <c:pt idx="34">
                  <c:v>20.188186095138526</c:v>
                </c:pt>
                <c:pt idx="35">
                  <c:v>20.202284875799183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1E-4AA7-ABE2-D7C2A4C373BF}"/>
            </c:ext>
          </c:extLst>
        </c:ser>
        <c:ser>
          <c:idx val="5"/>
          <c:order val="5"/>
          <c:tx>
            <c:v>30-前半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Notification!$F$193:$F$250</c:f>
              <c:numCache>
                <c:formatCode>0.00</c:formatCode>
                <c:ptCount val="58"/>
                <c:pt idx="0">
                  <c:v>509.19556171983356</c:v>
                </c:pt>
                <c:pt idx="1">
                  <c:v>479.84647498484952</c:v>
                </c:pt>
                <c:pt idx="2">
                  <c:v>416.80952692534186</c:v>
                </c:pt>
                <c:pt idx="3">
                  <c:v>344.5052497613745</c:v>
                </c:pt>
                <c:pt idx="4">
                  <c:v>304.48005026704368</c:v>
                </c:pt>
                <c:pt idx="5">
                  <c:v>263.64877443375735</c:v>
                </c:pt>
                <c:pt idx="6">
                  <c:v>223.77099423807772</c:v>
                </c:pt>
                <c:pt idx="7">
                  <c:v>191.37701344313916</c:v>
                </c:pt>
                <c:pt idx="8">
                  <c:v>160.67966973794424</c:v>
                </c:pt>
                <c:pt idx="9">
                  <c:v>138.76815873390811</c:v>
                </c:pt>
                <c:pt idx="10">
                  <c:v>123.18992654774397</c:v>
                </c:pt>
                <c:pt idx="11">
                  <c:v>103.70668815471394</c:v>
                </c:pt>
                <c:pt idx="12">
                  <c:v>89.418710263396918</c:v>
                </c:pt>
                <c:pt idx="13">
                  <c:v>78.467627933276788</c:v>
                </c:pt>
                <c:pt idx="14">
                  <c:v>71.63809962038421</c:v>
                </c:pt>
                <c:pt idx="15">
                  <c:v>61.695482431678748</c:v>
                </c:pt>
                <c:pt idx="16">
                  <c:v>52.979954979097435</c:v>
                </c:pt>
                <c:pt idx="17">
                  <c:v>49.077490774907751</c:v>
                </c:pt>
                <c:pt idx="18">
                  <c:v>44.87294917967187</c:v>
                </c:pt>
                <c:pt idx="19">
                  <c:v>38.71031943476963</c:v>
                </c:pt>
                <c:pt idx="20">
                  <c:v>35.94092995410098</c:v>
                </c:pt>
                <c:pt idx="21">
                  <c:v>33.853252419880633</c:v>
                </c:pt>
                <c:pt idx="22">
                  <c:v>33.206203915586066</c:v>
                </c:pt>
                <c:pt idx="23">
                  <c:v>29.894206549118387</c:v>
                </c:pt>
                <c:pt idx="24">
                  <c:v>28.605817452357073</c:v>
                </c:pt>
                <c:pt idx="25">
                  <c:v>29.064785788923722</c:v>
                </c:pt>
                <c:pt idx="26">
                  <c:v>27.057922660394901</c:v>
                </c:pt>
                <c:pt idx="27">
                  <c:v>26.304634244142751</c:v>
                </c:pt>
                <c:pt idx="28">
                  <c:v>24.458977407847801</c:v>
                </c:pt>
                <c:pt idx="29">
                  <c:v>23.248563394057953</c:v>
                </c:pt>
                <c:pt idx="30">
                  <c:v>22.688708671241422</c:v>
                </c:pt>
                <c:pt idx="31">
                  <c:v>21.694958036221365</c:v>
                </c:pt>
                <c:pt idx="32">
                  <c:v>20.622666582294499</c:v>
                </c:pt>
                <c:pt idx="33">
                  <c:v>20.336081166772352</c:v>
                </c:pt>
                <c:pt idx="34">
                  <c:v>20.682005450972934</c:v>
                </c:pt>
                <c:pt idx="35">
                  <c:v>19.917890022393632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1E-4AA7-ABE2-D7C2A4C373BF}"/>
            </c:ext>
          </c:extLst>
        </c:ser>
        <c:ser>
          <c:idx val="6"/>
          <c:order val="6"/>
          <c:tx>
            <c:v>40-前半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Notification!$G$193:$G$250</c:f>
              <c:numCache>
                <c:formatCode>0.00</c:formatCode>
                <c:ptCount val="58"/>
                <c:pt idx="0">
                  <c:v>527.75717353113407</c:v>
                </c:pt>
                <c:pt idx="1">
                  <c:v>489.66507177033492</c:v>
                </c:pt>
                <c:pt idx="2">
                  <c:v>447.30173627404974</c:v>
                </c:pt>
                <c:pt idx="3">
                  <c:v>400.8011049723757</c:v>
                </c:pt>
                <c:pt idx="4">
                  <c:v>348.68293542419173</c:v>
                </c:pt>
                <c:pt idx="5">
                  <c:v>306.51127438560934</c:v>
                </c:pt>
                <c:pt idx="6">
                  <c:v>276.67045085955237</c:v>
                </c:pt>
                <c:pt idx="7">
                  <c:v>245.86647948837935</c:v>
                </c:pt>
                <c:pt idx="8">
                  <c:v>216.93833095470592</c:v>
                </c:pt>
                <c:pt idx="9">
                  <c:v>186.66618381980155</c:v>
                </c:pt>
                <c:pt idx="10">
                  <c:v>168.7784071043983</c:v>
                </c:pt>
                <c:pt idx="11">
                  <c:v>143.11591753970936</c:v>
                </c:pt>
                <c:pt idx="12">
                  <c:v>127.05556288768642</c:v>
                </c:pt>
                <c:pt idx="13">
                  <c:v>115.2916987920843</c:v>
                </c:pt>
                <c:pt idx="14">
                  <c:v>102.91152004033275</c:v>
                </c:pt>
                <c:pt idx="15">
                  <c:v>90.669144981412643</c:v>
                </c:pt>
                <c:pt idx="16">
                  <c:v>78.0778200564625</c:v>
                </c:pt>
                <c:pt idx="17">
                  <c:v>70.783206481708817</c:v>
                </c:pt>
                <c:pt idx="18">
                  <c:v>63.052355701834585</c:v>
                </c:pt>
                <c:pt idx="19">
                  <c:v>57.241915237013572</c:v>
                </c:pt>
                <c:pt idx="20">
                  <c:v>52.457861044223883</c:v>
                </c:pt>
                <c:pt idx="21">
                  <c:v>48.282863441234483</c:v>
                </c:pt>
                <c:pt idx="22">
                  <c:v>46.77621819011754</c:v>
                </c:pt>
                <c:pt idx="23">
                  <c:v>42.716149140020775</c:v>
                </c:pt>
                <c:pt idx="24">
                  <c:v>40.491659350307287</c:v>
                </c:pt>
                <c:pt idx="25">
                  <c:v>38.315694153602351</c:v>
                </c:pt>
                <c:pt idx="26">
                  <c:v>35.919431022313915</c:v>
                </c:pt>
                <c:pt idx="27">
                  <c:v>34.993779805100559</c:v>
                </c:pt>
                <c:pt idx="28">
                  <c:v>32.70283975659229</c:v>
                </c:pt>
                <c:pt idx="29">
                  <c:v>31.784077748124275</c:v>
                </c:pt>
                <c:pt idx="30">
                  <c:v>30.572091615376856</c:v>
                </c:pt>
                <c:pt idx="31">
                  <c:v>28.244236128705346</c:v>
                </c:pt>
                <c:pt idx="32">
                  <c:v>26.517719568567028</c:v>
                </c:pt>
                <c:pt idx="33">
                  <c:v>25.986707566462169</c:v>
                </c:pt>
                <c:pt idx="34">
                  <c:v>26.454090656425286</c:v>
                </c:pt>
                <c:pt idx="35">
                  <c:v>25.069711159046665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1E-4AA7-ABE2-D7C2A4C373BF}"/>
            </c:ext>
          </c:extLst>
        </c:ser>
        <c:ser>
          <c:idx val="7"/>
          <c:order val="7"/>
          <c:tx>
            <c:v>50-前半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Notification!$H$193:$H$250</c:f>
              <c:numCache>
                <c:formatCode>0.00</c:formatCode>
                <c:ptCount val="58"/>
                <c:pt idx="0">
                  <c:v>613.40155945419099</c:v>
                </c:pt>
                <c:pt idx="1">
                  <c:v>559.60667461263404</c:v>
                </c:pt>
                <c:pt idx="2">
                  <c:v>518.86154205062405</c:v>
                </c:pt>
                <c:pt idx="3">
                  <c:v>470.63392347230155</c:v>
                </c:pt>
                <c:pt idx="4">
                  <c:v>428.94053932077173</c:v>
                </c:pt>
                <c:pt idx="5">
                  <c:v>380.86268390548372</c:v>
                </c:pt>
                <c:pt idx="6">
                  <c:v>353.42511013215858</c:v>
                </c:pt>
                <c:pt idx="7">
                  <c:v>318.40243769724668</c:v>
                </c:pt>
                <c:pt idx="8">
                  <c:v>293.09454662794451</c:v>
                </c:pt>
                <c:pt idx="9">
                  <c:v>249.14949815108292</c:v>
                </c:pt>
                <c:pt idx="10">
                  <c:v>228.60701681544529</c:v>
                </c:pt>
                <c:pt idx="11">
                  <c:v>199.75515200979393</c:v>
                </c:pt>
                <c:pt idx="12">
                  <c:v>185.3046239333201</c:v>
                </c:pt>
                <c:pt idx="13">
                  <c:v>175.46628407460545</c:v>
                </c:pt>
                <c:pt idx="14">
                  <c:v>152.51950435979808</c:v>
                </c:pt>
                <c:pt idx="15">
                  <c:v>140.45626706597375</c:v>
                </c:pt>
                <c:pt idx="16">
                  <c:v>124.54070453396258</c:v>
                </c:pt>
                <c:pt idx="17">
                  <c:v>116.84218988664684</c:v>
                </c:pt>
                <c:pt idx="18">
                  <c:v>107.58701603441533</c:v>
                </c:pt>
                <c:pt idx="19">
                  <c:v>99.114977874446865</c:v>
                </c:pt>
                <c:pt idx="20">
                  <c:v>93.63241678726483</c:v>
                </c:pt>
                <c:pt idx="21">
                  <c:v>87.535014005602235</c:v>
                </c:pt>
                <c:pt idx="22">
                  <c:v>85.494670675047828</c:v>
                </c:pt>
                <c:pt idx="23">
                  <c:v>78.33355713710219</c:v>
                </c:pt>
                <c:pt idx="24">
                  <c:v>72.317385312069305</c:v>
                </c:pt>
                <c:pt idx="25">
                  <c:v>70.291400142146415</c:v>
                </c:pt>
                <c:pt idx="26">
                  <c:v>64.12897447380206</c:v>
                </c:pt>
                <c:pt idx="27">
                  <c:v>60.076726342710998</c:v>
                </c:pt>
                <c:pt idx="28">
                  <c:v>56.493998736576124</c:v>
                </c:pt>
                <c:pt idx="29">
                  <c:v>52.341427155599604</c:v>
                </c:pt>
                <c:pt idx="30">
                  <c:v>49.193989902062171</c:v>
                </c:pt>
                <c:pt idx="31">
                  <c:v>46.272601669970562</c:v>
                </c:pt>
                <c:pt idx="32">
                  <c:v>43.302199101442419</c:v>
                </c:pt>
                <c:pt idx="33">
                  <c:v>41.276645722003643</c:v>
                </c:pt>
                <c:pt idx="34">
                  <c:v>40.214380344453815</c:v>
                </c:pt>
                <c:pt idx="35">
                  <c:v>38.246083969021136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1E-4AA7-ABE2-D7C2A4C373BF}"/>
            </c:ext>
          </c:extLst>
        </c:ser>
        <c:ser>
          <c:idx val="8"/>
          <c:order val="8"/>
          <c:tx>
            <c:v>60-前半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Notification!$I$193:$I$250</c:f>
              <c:numCache>
                <c:formatCode>0.00</c:formatCode>
                <c:ptCount val="58"/>
                <c:pt idx="0">
                  <c:v>746.93839911471787</c:v>
                </c:pt>
                <c:pt idx="1">
                  <c:v>673.48728965270323</c:v>
                </c:pt>
                <c:pt idx="2">
                  <c:v>639.55833768040338</c:v>
                </c:pt>
                <c:pt idx="3">
                  <c:v>598.78296146044624</c:v>
                </c:pt>
                <c:pt idx="4">
                  <c:v>536.68639053254435</c:v>
                </c:pt>
                <c:pt idx="5">
                  <c:v>497.80905165520551</c:v>
                </c:pt>
                <c:pt idx="6">
                  <c:v>461.23656751284847</c:v>
                </c:pt>
                <c:pt idx="7">
                  <c:v>433.41426403641884</c:v>
                </c:pt>
                <c:pt idx="8">
                  <c:v>411.34951168984907</c:v>
                </c:pt>
                <c:pt idx="9">
                  <c:v>354.70036101083031</c:v>
                </c:pt>
                <c:pt idx="10">
                  <c:v>327.62267343485615</c:v>
                </c:pt>
                <c:pt idx="11">
                  <c:v>284.39178950268632</c:v>
                </c:pt>
                <c:pt idx="12">
                  <c:v>275.94478692039667</c:v>
                </c:pt>
                <c:pt idx="13">
                  <c:v>252.60712441920495</c:v>
                </c:pt>
                <c:pt idx="14">
                  <c:v>225.21303258145363</c:v>
                </c:pt>
                <c:pt idx="15">
                  <c:v>207.65804775454657</c:v>
                </c:pt>
                <c:pt idx="16">
                  <c:v>188.69490904651445</c:v>
                </c:pt>
                <c:pt idx="17">
                  <c:v>177.9140359397766</c:v>
                </c:pt>
                <c:pt idx="18">
                  <c:v>160.99476439790575</c:v>
                </c:pt>
                <c:pt idx="19">
                  <c:v>146.86480186480188</c:v>
                </c:pt>
                <c:pt idx="20">
                  <c:v>144.55875628715134</c:v>
                </c:pt>
                <c:pt idx="21">
                  <c:v>136.30679915150162</c:v>
                </c:pt>
                <c:pt idx="22">
                  <c:v>131.57494844241833</c:v>
                </c:pt>
                <c:pt idx="23">
                  <c:v>122.72822226864425</c:v>
                </c:pt>
                <c:pt idx="24">
                  <c:v>117.68700689104165</c:v>
                </c:pt>
                <c:pt idx="25">
                  <c:v>110.89553665296761</c:v>
                </c:pt>
                <c:pt idx="26">
                  <c:v>105.13711151736746</c:v>
                </c:pt>
                <c:pt idx="27">
                  <c:v>100.43580580493332</c:v>
                </c:pt>
                <c:pt idx="28">
                  <c:v>96.157094594594597</c:v>
                </c:pt>
                <c:pt idx="29">
                  <c:v>91.726036269430054</c:v>
                </c:pt>
                <c:pt idx="30">
                  <c:v>85.401858939311097</c:v>
                </c:pt>
                <c:pt idx="31">
                  <c:v>81.043872919818455</c:v>
                </c:pt>
                <c:pt idx="32">
                  <c:v>74.533106960950761</c:v>
                </c:pt>
                <c:pt idx="33">
                  <c:v>66.542697754255471</c:v>
                </c:pt>
                <c:pt idx="34">
                  <c:v>64.161727349703639</c:v>
                </c:pt>
                <c:pt idx="35">
                  <c:v>61.210186662965789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1E-4AA7-ABE2-D7C2A4C373BF}"/>
            </c:ext>
          </c:extLst>
        </c:ser>
        <c:ser>
          <c:idx val="9"/>
          <c:order val="9"/>
          <c:tx>
            <c:v>70-前半a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Notification!$J$193:$J$250</c:f>
              <c:numCache>
                <c:formatCode>0.00</c:formatCode>
                <c:ptCount val="58"/>
                <c:pt idx="0">
                  <c:v>606.7002668247851</c:v>
                </c:pt>
                <c:pt idx="1">
                  <c:v>554.19913419913416</c:v>
                </c:pt>
                <c:pt idx="2">
                  <c:v>557.80151813325836</c:v>
                </c:pt>
                <c:pt idx="3">
                  <c:v>535.81803233762673</c:v>
                </c:pt>
                <c:pt idx="4">
                  <c:v>498.89386357650778</c:v>
                </c:pt>
                <c:pt idx="5">
                  <c:v>469.68314321926488</c:v>
                </c:pt>
                <c:pt idx="6">
                  <c:v>451.31964809384164</c:v>
                </c:pt>
                <c:pt idx="7">
                  <c:v>425.1179245283019</c:v>
                </c:pt>
                <c:pt idx="8">
                  <c:v>410.36918869644484</c:v>
                </c:pt>
                <c:pt idx="9">
                  <c:v>378.00261096605743</c:v>
                </c:pt>
                <c:pt idx="10">
                  <c:v>389.94378513429109</c:v>
                </c:pt>
                <c:pt idx="11">
                  <c:v>368.28976252245059</c:v>
                </c:pt>
                <c:pt idx="12">
                  <c:v>338.65042536736274</c:v>
                </c:pt>
                <c:pt idx="13">
                  <c:v>312.53016521254875</c:v>
                </c:pt>
                <c:pt idx="14">
                  <c:v>284.35080136862956</c:v>
                </c:pt>
                <c:pt idx="15">
                  <c:v>261.95205479452056</c:v>
                </c:pt>
                <c:pt idx="16">
                  <c:v>244.17841915382093</c:v>
                </c:pt>
                <c:pt idx="17">
                  <c:v>232.94743429286609</c:v>
                </c:pt>
                <c:pt idx="18">
                  <c:v>218.27357637842724</c:v>
                </c:pt>
                <c:pt idx="19">
                  <c:v>202.02150537634409</c:v>
                </c:pt>
                <c:pt idx="20">
                  <c:v>199.50624057056646</c:v>
                </c:pt>
                <c:pt idx="21">
                  <c:v>195.65846599131694</c:v>
                </c:pt>
                <c:pt idx="22">
                  <c:v>187.47949009213681</c:v>
                </c:pt>
                <c:pt idx="23">
                  <c:v>183.80847953216374</c:v>
                </c:pt>
                <c:pt idx="24">
                  <c:v>176.42058686539357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11E-4AA7-ABE2-D7C2A4C373BF}"/>
            </c:ext>
          </c:extLst>
        </c:ser>
        <c:ser>
          <c:idx val="10"/>
          <c:order val="10"/>
          <c:tx>
            <c:v>70-前半b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Notification!$K$193:$K$250</c:f>
              <c:numCache>
                <c:formatCode>0.00</c:formatCode>
                <c:ptCount val="58"/>
                <c:pt idx="25">
                  <c:v>168.04300405110627</c:v>
                </c:pt>
                <c:pt idx="26">
                  <c:v>158.72190796514295</c:v>
                </c:pt>
                <c:pt idx="27">
                  <c:v>153.86360199606835</c:v>
                </c:pt>
                <c:pt idx="28">
                  <c:v>148.80046811000585</c:v>
                </c:pt>
                <c:pt idx="29">
                  <c:v>141.85084842435478</c:v>
                </c:pt>
                <c:pt idx="30">
                  <c:v>131.38127695089722</c:v>
                </c:pt>
                <c:pt idx="31">
                  <c:v>125.93695034501421</c:v>
                </c:pt>
                <c:pt idx="32">
                  <c:v>115.40979313956534</c:v>
                </c:pt>
                <c:pt idx="33">
                  <c:v>105.75794621026895</c:v>
                </c:pt>
                <c:pt idx="34">
                  <c:v>101.14613180515759</c:v>
                </c:pt>
                <c:pt idx="35">
                  <c:v>102.93782737417445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1E-4AA7-ABE2-D7C2A4C373BF}"/>
            </c:ext>
          </c:extLst>
        </c:ser>
        <c:ser>
          <c:idx val="11"/>
          <c:order val="11"/>
          <c:tx>
            <c:v>80-前半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Notification!$L$193:$L$250</c:f>
              <c:numCache>
                <c:formatCode>0.00</c:formatCode>
                <c:ptCount val="58"/>
                <c:pt idx="25">
                  <c:v>180.46811945117031</c:v>
                </c:pt>
                <c:pt idx="26">
                  <c:v>178.65296803652967</c:v>
                </c:pt>
                <c:pt idx="27">
                  <c:v>167.79842744817728</c:v>
                </c:pt>
                <c:pt idx="28">
                  <c:v>167.71573604060913</c:v>
                </c:pt>
                <c:pt idx="29">
                  <c:v>158.94904458598725</c:v>
                </c:pt>
                <c:pt idx="30">
                  <c:v>156.84273709483793</c:v>
                </c:pt>
                <c:pt idx="31">
                  <c:v>147.22775092408301</c:v>
                </c:pt>
                <c:pt idx="32">
                  <c:v>136.54208120462491</c:v>
                </c:pt>
                <c:pt idx="33">
                  <c:v>125.51224387806097</c:v>
                </c:pt>
                <c:pt idx="34">
                  <c:v>122.66829865361078</c:v>
                </c:pt>
                <c:pt idx="35">
                  <c:v>132.8330206378987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11E-4AA7-ABE2-D7C2A4C373BF}"/>
            </c:ext>
          </c:extLst>
        </c:ser>
        <c:ser>
          <c:idx val="12"/>
          <c:order val="12"/>
          <c:tx>
            <c:v>total後半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Notification!$M$193:$M$253</c:f>
              <c:numCache>
                <c:formatCode>0.00</c:formatCode>
                <c:ptCount val="61"/>
                <c:pt idx="36">
                  <c:v>32.44074443021362</c:v>
                </c:pt>
                <c:pt idx="37">
                  <c:v>34.58787869219961</c:v>
                </c:pt>
                <c:pt idx="38">
                  <c:v>31.030814929206816</c:v>
                </c:pt>
                <c:pt idx="39">
                  <c:v>27.880211483922665</c:v>
                </c:pt>
                <c:pt idx="40">
                  <c:v>25.760583827049082</c:v>
                </c:pt>
                <c:pt idx="41">
                  <c:v>24.790979399619179</c:v>
                </c:pt>
                <c:pt idx="42">
                  <c:v>23.288268414178564</c:v>
                </c:pt>
                <c:pt idx="43">
                  <c:v>22.194913015910835</c:v>
                </c:pt>
                <c:pt idx="44">
                  <c:v>20.649683950419782</c:v>
                </c:pt>
                <c:pt idx="45">
                  <c:v>19.8096914072554</c:v>
                </c:pt>
                <c:pt idx="46">
                  <c:v>19.39040816965824</c:v>
                </c:pt>
                <c:pt idx="47">
                  <c:v>18.95544041805114</c:v>
                </c:pt>
                <c:pt idx="48">
                  <c:v>18.164709189729493</c:v>
                </c:pt>
                <c:pt idx="49" formatCode="0.00_ ">
                  <c:v>17.747441319905718</c:v>
                </c:pt>
                <c:pt idx="50" formatCode="0.00_ ">
                  <c:v>16.690568012817742</c:v>
                </c:pt>
                <c:pt idx="51" formatCode="0.00_ ">
                  <c:v>16.100056995537216</c:v>
                </c:pt>
                <c:pt idx="52" formatCode="0.00_ ">
                  <c:v>15.434816566352687</c:v>
                </c:pt>
                <c:pt idx="53" formatCode="0.00_ ">
                  <c:v>14.381244591298875</c:v>
                </c:pt>
                <c:pt idx="54" formatCode="0.00_ ">
                  <c:v>13.88530300118239</c:v>
                </c:pt>
                <c:pt idx="55" formatCode="0.00_ ">
                  <c:v>13.250337138171838</c:v>
                </c:pt>
                <c:pt idx="56" formatCode="0.00_ ">
                  <c:v>12.329648779791841</c:v>
                </c:pt>
                <c:pt idx="57" formatCode="0.00_);[Red]\(0.00\)">
                  <c:v>11.46100482671579</c:v>
                </c:pt>
                <c:pt idx="58" formatCode="0.00_);[Red]\(0.00\)">
                  <c:v>10.098607964087735</c:v>
                </c:pt>
                <c:pt idx="59" formatCode="0.00_);[Red]\(0.00\)">
                  <c:v>9.1783185788880814</c:v>
                </c:pt>
                <c:pt idx="60" formatCode="0.00_);[Red]\(0.00\)">
                  <c:v>8.1914870177256027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11E-4AA7-ABE2-D7C2A4C373BF}"/>
            </c:ext>
          </c:extLst>
        </c:ser>
        <c:ser>
          <c:idx val="13"/>
          <c:order val="13"/>
          <c:tx>
            <c:v>0-14後半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Notification!$N$193:$N$253</c:f>
              <c:numCache>
                <c:formatCode>0.00</c:formatCode>
                <c:ptCount val="61"/>
                <c:pt idx="36">
                  <c:v>1.4376410094968257</c:v>
                </c:pt>
                <c:pt idx="37">
                  <c:v>1.493970760857966</c:v>
                </c:pt>
                <c:pt idx="38">
                  <c:v>1.1925411968777104</c:v>
                </c:pt>
                <c:pt idx="39">
                  <c:v>1.0665645681780889</c:v>
                </c:pt>
                <c:pt idx="40">
                  <c:v>0.85625897690862884</c:v>
                </c:pt>
                <c:pt idx="41">
                  <c:v>0.70929907846970119</c:v>
                </c:pt>
                <c:pt idx="42">
                  <c:v>0.65976440320672569</c:v>
                </c:pt>
                <c:pt idx="43">
                  <c:v>0.67242538664459728</c:v>
                </c:pt>
                <c:pt idx="44">
                  <c:v>0.48753194409671946</c:v>
                </c:pt>
                <c:pt idx="45">
                  <c:v>0.5320212917234084</c:v>
                </c:pt>
                <c:pt idx="46">
                  <c:v>0.55309734513274333</c:v>
                </c:pt>
                <c:pt idx="47">
                  <c:v>0.42913421584098987</c:v>
                </c:pt>
                <c:pt idx="48">
                  <c:v>0.52983759584702572</c:v>
                </c:pt>
                <c:pt idx="49" formatCode="0.00_ ">
                  <c:v>0.50283861376732619</c:v>
                </c:pt>
                <c:pt idx="50" formatCode="0.00_ ">
                  <c:v>0.38073329958706753</c:v>
                </c:pt>
                <c:pt idx="51" formatCode="0.00_ ">
                  <c:v>0.40267935521517356</c:v>
                </c:pt>
                <c:pt idx="52" formatCode="0.00_ ">
                  <c:v>0.3018495430336729</c:v>
                </c:pt>
                <c:pt idx="53" formatCode="0.00_ ">
                  <c:v>0.3214744963566224</c:v>
                </c:pt>
                <c:pt idx="54" formatCode="0.00_);[Red]\(0.00\)">
                  <c:v>0.37388230577907344</c:v>
                </c:pt>
                <c:pt idx="55" formatCode="0.00_);[Red]\(0.00\)">
                  <c:v>0.37839621829536735</c:v>
                </c:pt>
                <c:pt idx="56" formatCode="0.00_);[Red]\(0.00\)">
                  <c:v>0.33085597891136964</c:v>
                </c:pt>
                <c:pt idx="57" formatCode="0.00_);[Red]\(0.00\)">
                  <c:v>0.24983018122155387</c:v>
                </c:pt>
                <c:pt idx="58" formatCode="0.00_);[Red]\(0.00\)">
                  <c:v>0.34593784481520995</c:v>
                </c:pt>
                <c:pt idx="59" formatCode="0.00_);[Red]\(0.00\)">
                  <c:v>0.1961543068823309</c:v>
                </c:pt>
                <c:pt idx="60" formatCode="0.00_);[Red]\(0.00\)">
                  <c:v>0.24133542058592516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1E-4AA7-ABE2-D7C2A4C373BF}"/>
            </c:ext>
          </c:extLst>
        </c:ser>
        <c:ser>
          <c:idx val="14"/>
          <c:order val="14"/>
          <c:tx>
            <c:v>15-19後半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Notification!$O$193:$O$253</c:f>
              <c:numCache>
                <c:formatCode>0.00</c:formatCode>
                <c:ptCount val="61"/>
                <c:pt idx="36">
                  <c:v>6.4685538619187906</c:v>
                </c:pt>
                <c:pt idx="37">
                  <c:v>7.0019595035924231</c:v>
                </c:pt>
                <c:pt idx="38">
                  <c:v>5.7025122956267449</c:v>
                </c:pt>
                <c:pt idx="39">
                  <c:v>5.7278911564625847</c:v>
                </c:pt>
                <c:pt idx="40">
                  <c:v>4.6566583263830967</c:v>
                </c:pt>
                <c:pt idx="41">
                  <c:v>4.3733028440760329</c:v>
                </c:pt>
                <c:pt idx="42">
                  <c:v>4.466638939980796</c:v>
                </c:pt>
                <c:pt idx="43">
                  <c:v>4.3514900789090634</c:v>
                </c:pt>
                <c:pt idx="44">
                  <c:v>3.3312583018770705</c:v>
                </c:pt>
                <c:pt idx="45">
                  <c:v>3.1998028539375962</c:v>
                </c:pt>
                <c:pt idx="46">
                  <c:v>3.1031681559707556</c:v>
                </c:pt>
                <c:pt idx="47">
                  <c:v>3.3560574616261976</c:v>
                </c:pt>
                <c:pt idx="48">
                  <c:v>4.173317371641394</c:v>
                </c:pt>
                <c:pt idx="49" formatCode="0.00_ ">
                  <c:v>2.5841953901904602</c:v>
                </c:pt>
                <c:pt idx="50" formatCode="0.00_ ">
                  <c:v>2.7274701870978428</c:v>
                </c:pt>
                <c:pt idx="51" formatCode="0.00_ ">
                  <c:v>2.7285558250119273</c:v>
                </c:pt>
                <c:pt idx="52" formatCode="0.00_ ">
                  <c:v>2.7974836634447318</c:v>
                </c:pt>
                <c:pt idx="53" formatCode="0.00_ ">
                  <c:v>2.7662282562579552</c:v>
                </c:pt>
                <c:pt idx="54" formatCode="0.00_ ">
                  <c:v>3.1458229679846283</c:v>
                </c:pt>
                <c:pt idx="55" formatCode="0.00_ ">
                  <c:v>2.4686226386707069</c:v>
                </c:pt>
                <c:pt idx="56" formatCode="0.00_ ">
                  <c:v>2.6749696822660853</c:v>
                </c:pt>
                <c:pt idx="57" formatCode="0.00_);[Red]\(0.00\)">
                  <c:v>2.439767383643284</c:v>
                </c:pt>
                <c:pt idx="58" formatCode="0.00_);[Red]\(0.00\)">
                  <c:v>1.3143354036744612</c:v>
                </c:pt>
                <c:pt idx="59" formatCode="0.00_);[Red]\(0.00\)">
                  <c:v>1.7563649410918782</c:v>
                </c:pt>
                <c:pt idx="60" formatCode="0.00_);[Red]\(0.00\)">
                  <c:v>1.2880222816970037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11E-4AA7-ABE2-D7C2A4C373BF}"/>
            </c:ext>
          </c:extLst>
        </c:ser>
        <c:ser>
          <c:idx val="15"/>
          <c:order val="15"/>
          <c:tx>
            <c:v>20-後半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Notification!$P$193:$P$253</c:f>
              <c:numCache>
                <c:formatCode>0.00</c:formatCode>
                <c:ptCount val="61"/>
                <c:pt idx="36">
                  <c:v>20.681303638182488</c:v>
                </c:pt>
                <c:pt idx="37">
                  <c:v>21.314878892733564</c:v>
                </c:pt>
                <c:pt idx="38">
                  <c:v>20.088808948344667</c:v>
                </c:pt>
                <c:pt idx="39">
                  <c:v>17.632931188561216</c:v>
                </c:pt>
                <c:pt idx="40">
                  <c:v>16.52812016281603</c:v>
                </c:pt>
                <c:pt idx="41">
                  <c:v>16.492779251399941</c:v>
                </c:pt>
                <c:pt idx="42">
                  <c:v>15.339591741134681</c:v>
                </c:pt>
                <c:pt idx="43">
                  <c:v>15.447252629319596</c:v>
                </c:pt>
                <c:pt idx="44">
                  <c:v>13.499437088480034</c:v>
                </c:pt>
                <c:pt idx="45">
                  <c:v>12.798507390705636</c:v>
                </c:pt>
                <c:pt idx="46">
                  <c:v>12.371903630810994</c:v>
                </c:pt>
                <c:pt idx="47">
                  <c:v>11.785960028877337</c:v>
                </c:pt>
                <c:pt idx="48">
                  <c:v>10.923909564821598</c:v>
                </c:pt>
                <c:pt idx="49" formatCode="0.00_ ">
                  <c:v>10.427385950742117</c:v>
                </c:pt>
                <c:pt idx="50" formatCode="0.00_ ">
                  <c:v>9.6694308376317135</c:v>
                </c:pt>
                <c:pt idx="51" formatCode="0.00_ ">
                  <c:v>9.147814532802526</c:v>
                </c:pt>
                <c:pt idx="52" formatCode="0.00_ ">
                  <c:v>9.2231270064959379</c:v>
                </c:pt>
                <c:pt idx="53" formatCode="0.00_ ">
                  <c:v>8.9538957788777047</c:v>
                </c:pt>
                <c:pt idx="54" formatCode="0.00_ ">
                  <c:v>9.8459424910856352</c:v>
                </c:pt>
                <c:pt idx="55" formatCode="0.00_ ">
                  <c:v>9.8332933265008844</c:v>
                </c:pt>
                <c:pt idx="56" formatCode="0.00_ ">
                  <c:v>10.141157261387253</c:v>
                </c:pt>
                <c:pt idx="57" formatCode="0.00_);[Red]\(0.00\)">
                  <c:v>9.2176379343495114</c:v>
                </c:pt>
                <c:pt idx="58" formatCode="0.00_);[Red]\(0.00\)">
                  <c:v>8.0839980132413842</c:v>
                </c:pt>
                <c:pt idx="59" formatCode="0.00_);[Red]\(0.00\)">
                  <c:v>7.3562197193673358</c:v>
                </c:pt>
                <c:pt idx="60" formatCode="0.00_);[Red]\(0.00\)">
                  <c:v>6.1300053426507315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11E-4AA7-ABE2-D7C2A4C373BF}"/>
            </c:ext>
          </c:extLst>
        </c:ser>
        <c:ser>
          <c:idx val="16"/>
          <c:order val="16"/>
          <c:tx>
            <c:v>30-後半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Notification!$Q$193:$Q$253</c:f>
              <c:numCache>
                <c:formatCode>0.00</c:formatCode>
                <c:ptCount val="61"/>
                <c:pt idx="36">
                  <c:v>19.366089457259989</c:v>
                </c:pt>
                <c:pt idx="37">
                  <c:v>20.609858985175364</c:v>
                </c:pt>
                <c:pt idx="38">
                  <c:v>19.633445136559654</c:v>
                </c:pt>
                <c:pt idx="39">
                  <c:v>17.538497029817176</c:v>
                </c:pt>
                <c:pt idx="40">
                  <c:v>16.013292779092037</c:v>
                </c:pt>
                <c:pt idx="41">
                  <c:v>15.427376300291705</c:v>
                </c:pt>
                <c:pt idx="42">
                  <c:v>14.815738318347686</c:v>
                </c:pt>
                <c:pt idx="43">
                  <c:v>14.931783447306477</c:v>
                </c:pt>
                <c:pt idx="44">
                  <c:v>12.777309781567212</c:v>
                </c:pt>
                <c:pt idx="45">
                  <c:v>12.283183581917898</c:v>
                </c:pt>
                <c:pt idx="46">
                  <c:v>11.566783122816448</c:v>
                </c:pt>
                <c:pt idx="47">
                  <c:v>11.471602893750068</c:v>
                </c:pt>
                <c:pt idx="48">
                  <c:v>10.744088234636122</c:v>
                </c:pt>
                <c:pt idx="49" formatCode="0.00_ ">
                  <c:v>9.6492085823588312</c:v>
                </c:pt>
                <c:pt idx="50" formatCode="0.00_ ">
                  <c:v>8.8562064474458051</c:v>
                </c:pt>
                <c:pt idx="51" formatCode="0.00_ ">
                  <c:v>7.8941557353289182</c:v>
                </c:pt>
                <c:pt idx="52" formatCode="0.00_ ">
                  <c:v>7.6533023069903772</c:v>
                </c:pt>
                <c:pt idx="53" formatCode="0.00_ ">
                  <c:v>7.1275053084054072</c:v>
                </c:pt>
                <c:pt idx="54" formatCode="0.00_ ">
                  <c:v>6.5302520430127666</c:v>
                </c:pt>
                <c:pt idx="55" formatCode="0.00_ ">
                  <c:v>6.5817226562098856</c:v>
                </c:pt>
                <c:pt idx="56" formatCode="0.00_ ">
                  <c:v>6.0492102226321256</c:v>
                </c:pt>
                <c:pt idx="57" formatCode="0.00_);[Red]\(0.00\)">
                  <c:v>5.3624956145692639</c:v>
                </c:pt>
                <c:pt idx="58" formatCode="0.00_);[Red]\(0.00\)">
                  <c:v>4.8268565736861175</c:v>
                </c:pt>
                <c:pt idx="59" formatCode="0.00_);[Red]\(0.00\)">
                  <c:v>4.2920318608237134</c:v>
                </c:pt>
                <c:pt idx="60" formatCode="0.00_);[Red]\(0.00\)">
                  <c:v>3.6829214074822318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11E-4AA7-ABE2-D7C2A4C373BF}"/>
            </c:ext>
          </c:extLst>
        </c:ser>
        <c:ser>
          <c:idx val="17"/>
          <c:order val="17"/>
          <c:tx>
            <c:v>40-後半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Notification!$R$193:$R$253</c:f>
              <c:numCache>
                <c:formatCode>0.00</c:formatCode>
                <c:ptCount val="61"/>
                <c:pt idx="36">
                  <c:v>23.515164859360379</c:v>
                </c:pt>
                <c:pt idx="37">
                  <c:v>24.318090075543509</c:v>
                </c:pt>
                <c:pt idx="38">
                  <c:v>21.619041937600667</c:v>
                </c:pt>
                <c:pt idx="39">
                  <c:v>18.497819812073942</c:v>
                </c:pt>
                <c:pt idx="40">
                  <c:v>16.823426134938551</c:v>
                </c:pt>
                <c:pt idx="41">
                  <c:v>15.562452495566253</c:v>
                </c:pt>
                <c:pt idx="42">
                  <c:v>14.883197352338826</c:v>
                </c:pt>
                <c:pt idx="43">
                  <c:v>14.041923363989424</c:v>
                </c:pt>
                <c:pt idx="44">
                  <c:v>12.993830131409915</c:v>
                </c:pt>
                <c:pt idx="45">
                  <c:v>12.129402863542024</c:v>
                </c:pt>
                <c:pt idx="46">
                  <c:v>11.842836844381294</c:v>
                </c:pt>
                <c:pt idx="47">
                  <c:v>11.257159602265718</c:v>
                </c:pt>
                <c:pt idx="48">
                  <c:v>10.604721626057316</c:v>
                </c:pt>
                <c:pt idx="49" formatCode="0.00_ ">
                  <c:v>10.531901534822111</c:v>
                </c:pt>
                <c:pt idx="50" formatCode="0.00_ ">
                  <c:v>9.0529376754466391</c:v>
                </c:pt>
                <c:pt idx="51" formatCode="0.00_ ">
                  <c:v>8.2774160496552014</c:v>
                </c:pt>
                <c:pt idx="52" formatCode="0.00_ ">
                  <c:v>7.8254298755892506</c:v>
                </c:pt>
                <c:pt idx="53" formatCode="0.00_ ">
                  <c:v>7.4586028389751675</c:v>
                </c:pt>
                <c:pt idx="54" formatCode="0.00_ ">
                  <c:v>6.4651709448057613</c:v>
                </c:pt>
                <c:pt idx="55" formatCode="0.00_ ">
                  <c:v>6.1324250359982342</c:v>
                </c:pt>
                <c:pt idx="56" formatCode="0.00_ ">
                  <c:v>5.5119221703795915</c:v>
                </c:pt>
                <c:pt idx="57" formatCode="0.00_);[Red]\(0.00\)">
                  <c:v>5.3186448740817571</c:v>
                </c:pt>
                <c:pt idx="58" formatCode="0.00_);[Red]\(0.00\)">
                  <c:v>4.03931424763711</c:v>
                </c:pt>
                <c:pt idx="59" formatCode="0.00_);[Red]\(0.00\)">
                  <c:v>3.5745465254877176</c:v>
                </c:pt>
                <c:pt idx="60" formatCode="0.00_);[Red]\(0.00\)">
                  <c:v>3.136447891192601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11E-4AA7-ABE2-D7C2A4C373BF}"/>
            </c:ext>
          </c:extLst>
        </c:ser>
        <c:ser>
          <c:idx val="18"/>
          <c:order val="18"/>
          <c:tx>
            <c:v>50-後半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Notification!$S$193:$S$253</c:f>
              <c:numCache>
                <c:formatCode>0.00</c:formatCode>
                <c:ptCount val="61"/>
                <c:pt idx="36">
                  <c:v>35.296089385474858</c:v>
                </c:pt>
                <c:pt idx="37">
                  <c:v>35.588972431077693</c:v>
                </c:pt>
                <c:pt idx="38">
                  <c:v>31.260009298961617</c:v>
                </c:pt>
                <c:pt idx="39">
                  <c:v>27.826311708451797</c:v>
                </c:pt>
                <c:pt idx="40">
                  <c:v>24.744355048014533</c:v>
                </c:pt>
                <c:pt idx="41">
                  <c:v>23.082938018036803</c:v>
                </c:pt>
                <c:pt idx="42">
                  <c:v>21.071782338572909</c:v>
                </c:pt>
                <c:pt idx="43">
                  <c:v>18.925430919088118</c:v>
                </c:pt>
                <c:pt idx="44">
                  <c:v>17.334963457315041</c:v>
                </c:pt>
                <c:pt idx="45">
                  <c:v>16.419383181931472</c:v>
                </c:pt>
                <c:pt idx="46">
                  <c:v>15.764439411098527</c:v>
                </c:pt>
                <c:pt idx="47">
                  <c:v>14.674485709949071</c:v>
                </c:pt>
                <c:pt idx="48">
                  <c:v>13.399332193577456</c:v>
                </c:pt>
                <c:pt idx="49" formatCode="0.00_ ">
                  <c:v>12.838762561341277</c:v>
                </c:pt>
                <c:pt idx="50" formatCode="0.00_ ">
                  <c:v>11.483090014439266</c:v>
                </c:pt>
                <c:pt idx="51" formatCode="0.00_ ">
                  <c:v>10.766003405419431</c:v>
                </c:pt>
                <c:pt idx="52" formatCode="0.00_ ">
                  <c:v>9.8022813806377371</c:v>
                </c:pt>
                <c:pt idx="53" formatCode="0.00_ ">
                  <c:v>8.807901685301692</c:v>
                </c:pt>
                <c:pt idx="54" formatCode="0.00_ ">
                  <c:v>8.3819735916698583</c:v>
                </c:pt>
                <c:pt idx="55" formatCode="0.00_ ">
                  <c:v>8.0516703882359248</c:v>
                </c:pt>
                <c:pt idx="56" formatCode="0.00_ ">
                  <c:v>7.1826324197920126</c:v>
                </c:pt>
                <c:pt idx="57" formatCode="0.00_);[Red]\(0.00\)">
                  <c:v>6.4750554019624085</c:v>
                </c:pt>
                <c:pt idx="58" formatCode="0.00_);[Red]\(0.00\)">
                  <c:v>5.5401625510074188</c:v>
                </c:pt>
                <c:pt idx="59" formatCode="0.00_);[Red]\(0.00\)">
                  <c:v>4.9249123617408443</c:v>
                </c:pt>
                <c:pt idx="60" formatCode="0.00_);[Red]\(0.00\)">
                  <c:v>4.1861876936932774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11E-4AA7-ABE2-D7C2A4C373BF}"/>
            </c:ext>
          </c:extLst>
        </c:ser>
        <c:ser>
          <c:idx val="19"/>
          <c:order val="19"/>
          <c:tx>
            <c:v>60-後半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Notification!$T$193:$T$253</c:f>
              <c:numCache>
                <c:formatCode>0.00</c:formatCode>
                <c:ptCount val="61"/>
                <c:pt idx="36">
                  <c:v>56.32207578253707</c:v>
                </c:pt>
                <c:pt idx="37">
                  <c:v>55.661477264933815</c:v>
                </c:pt>
                <c:pt idx="38">
                  <c:v>46.125779487859894</c:v>
                </c:pt>
                <c:pt idx="39">
                  <c:v>40.921355709114842</c:v>
                </c:pt>
                <c:pt idx="40">
                  <c:v>35.79736365986043</c:v>
                </c:pt>
                <c:pt idx="41">
                  <c:v>32.675536316761089</c:v>
                </c:pt>
                <c:pt idx="42">
                  <c:v>29.107890057448696</c:v>
                </c:pt>
                <c:pt idx="43">
                  <c:v>26.217750289255449</c:v>
                </c:pt>
                <c:pt idx="44">
                  <c:v>24.335355275574592</c:v>
                </c:pt>
                <c:pt idx="45">
                  <c:v>22.647475128394447</c:v>
                </c:pt>
                <c:pt idx="46">
                  <c:v>21.7</c:v>
                </c:pt>
                <c:pt idx="47">
                  <c:v>20.507855407595592</c:v>
                </c:pt>
                <c:pt idx="48">
                  <c:v>19.927136233164052</c:v>
                </c:pt>
                <c:pt idx="49" formatCode="0.00_ ">
                  <c:v>17.477288582534033</c:v>
                </c:pt>
                <c:pt idx="50" formatCode="0.00_ ">
                  <c:v>16.325055485947633</c:v>
                </c:pt>
                <c:pt idx="51" formatCode="0.00_ ">
                  <c:v>15.425626130411716</c:v>
                </c:pt>
                <c:pt idx="52" formatCode="0.00_ ">
                  <c:v>14.321015403556233</c:v>
                </c:pt>
                <c:pt idx="53" formatCode="0.00_ ">
                  <c:v>13.132842684243929</c:v>
                </c:pt>
                <c:pt idx="54" formatCode="0.00_ ">
                  <c:v>12.004397525976664</c:v>
                </c:pt>
                <c:pt idx="55" formatCode="0.00_ ">
                  <c:v>11.418614474120618</c:v>
                </c:pt>
                <c:pt idx="56" formatCode="0.00_ ">
                  <c:v>10.047628945308526</c:v>
                </c:pt>
                <c:pt idx="57" formatCode="0.00_);[Red]\(0.00\)">
                  <c:v>9.0687401881098211</c:v>
                </c:pt>
                <c:pt idx="58" formatCode="0.00_);[Red]\(0.00\)">
                  <c:v>8.0491541818672587</c:v>
                </c:pt>
                <c:pt idx="59" formatCode="0.00_);[Red]\(0.00\)">
                  <c:v>7.0116103749029435</c:v>
                </c:pt>
                <c:pt idx="60" formatCode="0.00_);[Red]\(0.00\)">
                  <c:v>6.1484553558053028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11E-4AA7-ABE2-D7C2A4C373BF}"/>
            </c:ext>
          </c:extLst>
        </c:ser>
        <c:ser>
          <c:idx val="20"/>
          <c:order val="20"/>
          <c:tx>
            <c:v>70-後半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Notification!$U$193:$U$253</c:f>
              <c:numCache>
                <c:formatCode>0.00</c:formatCode>
                <c:ptCount val="61"/>
                <c:pt idx="36">
                  <c:v>93.9</c:v>
                </c:pt>
                <c:pt idx="37">
                  <c:v>102.2</c:v>
                </c:pt>
                <c:pt idx="38">
                  <c:v>87.2</c:v>
                </c:pt>
                <c:pt idx="39">
                  <c:v>75.3</c:v>
                </c:pt>
                <c:pt idx="40">
                  <c:v>70.099999999999994</c:v>
                </c:pt>
                <c:pt idx="41">
                  <c:v>64.792110874200432</c:v>
                </c:pt>
                <c:pt idx="42">
                  <c:v>59.089746368094964</c:v>
                </c:pt>
                <c:pt idx="43">
                  <c:v>50.899912380125564</c:v>
                </c:pt>
                <c:pt idx="44">
                  <c:v>49.964499768988823</c:v>
                </c:pt>
                <c:pt idx="45">
                  <c:v>45.318710901700598</c:v>
                </c:pt>
                <c:pt idx="46">
                  <c:v>43.623898188581599</c:v>
                </c:pt>
                <c:pt idx="47">
                  <c:v>40.461954798148845</c:v>
                </c:pt>
                <c:pt idx="48">
                  <c:v>38.776823867910629</c:v>
                </c:pt>
                <c:pt idx="49" formatCode="0.00_ ">
                  <c:v>36.580493030009137</c:v>
                </c:pt>
                <c:pt idx="50" formatCode="0.00_ ">
                  <c:v>33.663526495796127</c:v>
                </c:pt>
                <c:pt idx="51" formatCode="0.00_ ">
                  <c:v>31.364633544299288</c:v>
                </c:pt>
                <c:pt idx="52" formatCode="0.00_ ">
                  <c:v>28.37131600786001</c:v>
                </c:pt>
                <c:pt idx="53" formatCode="0.00_ ">
                  <c:v>26.945420641181954</c:v>
                </c:pt>
                <c:pt idx="54" formatCode="0.00_ ">
                  <c:v>24.452209853214253</c:v>
                </c:pt>
                <c:pt idx="55" formatCode="0.00_ ">
                  <c:v>21.998667655214682</c:v>
                </c:pt>
                <c:pt idx="56" formatCode="0.00_ ">
                  <c:v>19.747632509416391</c:v>
                </c:pt>
                <c:pt idx="57" formatCode="0.00_);[Red]\(0.00\)">
                  <c:v>17.643078143265061</c:v>
                </c:pt>
                <c:pt idx="58" formatCode="0.00_);[Red]\(0.00\)">
                  <c:v>15.670784323678296</c:v>
                </c:pt>
                <c:pt idx="59" formatCode="0.00_);[Red]\(0.00\)">
                  <c:v>13.678103742404868</c:v>
                </c:pt>
                <c:pt idx="60" formatCode="0.00_);[Red]\(0.00\)">
                  <c:v>12.623392747598134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11E-4AA7-ABE2-D7C2A4C373BF}"/>
            </c:ext>
          </c:extLst>
        </c:ser>
        <c:ser>
          <c:idx val="21"/>
          <c:order val="21"/>
          <c:tx>
            <c:v>80-後半a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Notification!$V$193:$V$253</c:f>
              <c:numCache>
                <c:formatCode>0.00</c:formatCode>
                <c:ptCount val="61"/>
                <c:pt idx="36">
                  <c:v>128.80000000000001</c:v>
                </c:pt>
                <c:pt idx="37">
                  <c:v>146.4</c:v>
                </c:pt>
                <c:pt idx="38">
                  <c:v>130.1</c:v>
                </c:pt>
                <c:pt idx="39">
                  <c:v>120.8</c:v>
                </c:pt>
                <c:pt idx="40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11E-4AA7-ABE2-D7C2A4C373BF}"/>
            </c:ext>
          </c:extLst>
        </c:ser>
        <c:ser>
          <c:idx val="22"/>
          <c:order val="22"/>
          <c:tx>
            <c:v>80-後半b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Notification!$W$193:$W$253</c:f>
              <c:numCache>
                <c:formatCode>General</c:formatCode>
                <c:ptCount val="61"/>
                <c:pt idx="41" formatCode="0.00">
                  <c:v>110.67796610169492</c:v>
                </c:pt>
                <c:pt idx="42" formatCode="0.00">
                  <c:v>103.14964795059477</c:v>
                </c:pt>
                <c:pt idx="43" formatCode="0.00">
                  <c:v>95.138989431012021</c:v>
                </c:pt>
                <c:pt idx="44" formatCode="0.00">
                  <c:v>91.990470144537568</c:v>
                </c:pt>
                <c:pt idx="45" formatCode="0.00">
                  <c:v>90.294247350458818</c:v>
                </c:pt>
                <c:pt idx="46" formatCode="0.00">
                  <c:v>87.197176319589289</c:v>
                </c:pt>
                <c:pt idx="47" formatCode="0.00_ ">
                  <c:v>86.792245402180797</c:v>
                </c:pt>
                <c:pt idx="48" formatCode="0.00_ ">
                  <c:v>82.572175394284713</c:v>
                </c:pt>
                <c:pt idx="49" formatCode="0.00_ ">
                  <c:v>82.834272177938743</c:v>
                </c:pt>
                <c:pt idx="50" formatCode="0.00_ ">
                  <c:v>77.621503355682961</c:v>
                </c:pt>
                <c:pt idx="51" formatCode="0.00_ ">
                  <c:v>76.174499961756652</c:v>
                </c:pt>
                <c:pt idx="52" formatCode="0.00_ ">
                  <c:v>72.532709062012003</c:v>
                </c:pt>
                <c:pt idx="53" formatCode="0.00_ ">
                  <c:v>65.997219601807259</c:v>
                </c:pt>
                <c:pt idx="54" formatCode="0.00_ ">
                  <c:v>60.766188547856032</c:v>
                </c:pt>
                <c:pt idx="55" formatCode="0.00_ ">
                  <c:v>55.495562599213279</c:v>
                </c:pt>
                <c:pt idx="56" formatCode="0.00_ ">
                  <c:v>51.168218735445301</c:v>
                </c:pt>
                <c:pt idx="57" formatCode="0.00_);[Red]\(0.00\)">
                  <c:v>45.42528966032711</c:v>
                </c:pt>
                <c:pt idx="58" formatCode="0.00_);[Red]\(0.00\)">
                  <c:v>40.302454283885197</c:v>
                </c:pt>
                <c:pt idx="59" formatCode="0.00_);[Red]\(0.00\)">
                  <c:v>36.460379703057761</c:v>
                </c:pt>
                <c:pt idx="60" formatCode="0.00_);[Red]\(0.00\)">
                  <c:v>32.574697266189929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11E-4AA7-ABE2-D7C2A4C373BF}"/>
            </c:ext>
          </c:extLst>
        </c:ser>
        <c:ser>
          <c:idx val="23"/>
          <c:order val="23"/>
          <c:tx>
            <c:v>90-後半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Notification!$A$193:$A$253</c:f>
              <c:strCache>
                <c:ptCount val="61"/>
                <c:pt idx="0">
                  <c:v>62</c:v>
                </c:pt>
                <c:pt idx="3">
                  <c:v>65</c:v>
                </c:pt>
                <c:pt idx="8">
                  <c:v>70</c:v>
                </c:pt>
                <c:pt idx="13">
                  <c:v>75</c:v>
                </c:pt>
                <c:pt idx="18">
                  <c:v>80</c:v>
                </c:pt>
                <c:pt idx="23">
                  <c:v>85</c:v>
                </c:pt>
                <c:pt idx="28">
                  <c:v>90</c:v>
                </c:pt>
                <c:pt idx="33">
                  <c:v>95</c:v>
                </c:pt>
                <c:pt idx="38">
                  <c:v>2000</c:v>
                </c:pt>
                <c:pt idx="43">
                  <c:v>05</c:v>
                </c:pt>
                <c:pt idx="48">
                  <c:v>10</c:v>
                </c:pt>
                <c:pt idx="53">
                  <c:v>15</c:v>
                </c:pt>
                <c:pt idx="60">
                  <c:v>2022</c:v>
                </c:pt>
              </c:strCache>
            </c:strRef>
          </c:cat>
          <c:val>
            <c:numRef>
              <c:f>Notification!$X$193:$X$253</c:f>
              <c:numCache>
                <c:formatCode>General</c:formatCode>
                <c:ptCount val="61"/>
                <c:pt idx="41" formatCode="0.00_ ">
                  <c:v>114.82277121374865</c:v>
                </c:pt>
                <c:pt idx="42" formatCode="0.00_ ">
                  <c:v>109.84241157242955</c:v>
                </c:pt>
                <c:pt idx="43" formatCode="0.00_ ">
                  <c:v>100.2584439889493</c:v>
                </c:pt>
                <c:pt idx="44" formatCode="0.00_ ">
                  <c:v>97.872697934539616</c:v>
                </c:pt>
                <c:pt idx="45" formatCode="0.00_ ">
                  <c:v>91.714071360256312</c:v>
                </c:pt>
                <c:pt idx="46" formatCode="0.00_ ">
                  <c:v>89.833573540497369</c:v>
                </c:pt>
                <c:pt idx="47" formatCode="0.00_ ">
                  <c:v>95.729112930273416</c:v>
                </c:pt>
                <c:pt idx="48" formatCode="0.00_ ">
                  <c:v>94.938099772910405</c:v>
                </c:pt>
                <c:pt idx="49" formatCode="0.00_ ">
                  <c:v>99.054143603606349</c:v>
                </c:pt>
                <c:pt idx="50" formatCode="0.00_ ">
                  <c:v>97.137837544166956</c:v>
                </c:pt>
                <c:pt idx="51" formatCode="0.00_ ">
                  <c:v>95.578472901457474</c:v>
                </c:pt>
                <c:pt idx="52" formatCode="0.00_ ">
                  <c:v>95.716358001316607</c:v>
                </c:pt>
                <c:pt idx="53" formatCode="0.00_ ">
                  <c:v>91.962149227757237</c:v>
                </c:pt>
                <c:pt idx="54" formatCode="0.00_ ">
                  <c:v>96.298725287132086</c:v>
                </c:pt>
                <c:pt idx="55" formatCode="0.00_ ">
                  <c:v>92.670872872986877</c:v>
                </c:pt>
                <c:pt idx="56" formatCode="0.00_ ">
                  <c:v>82.751264179057969</c:v>
                </c:pt>
                <c:pt idx="57" formatCode="0.00_);[Red]\(0.00\)">
                  <c:v>85.176846967041712</c:v>
                </c:pt>
                <c:pt idx="58" formatCode="0.00_);[Red]\(0.00\)">
                  <c:v>72.720794801905882</c:v>
                </c:pt>
                <c:pt idx="59" formatCode="0.00_);[Red]\(0.00\)">
                  <c:v>64.635407616687104</c:v>
                </c:pt>
                <c:pt idx="60" formatCode="0.00_);[Red]\(0.00\)">
                  <c:v>53.998362605830529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11E-4AA7-ABE2-D7C2A4C37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633848"/>
        <c:axId val="396633456"/>
      </c:lineChart>
      <c:catAx>
        <c:axId val="396633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aseline="0">
                <a:latin typeface="+mn-lt"/>
                <a:ea typeface="Cambria" panose="02040503050406030204" pitchFamily="18" charset="0"/>
              </a:defRPr>
            </a:pPr>
            <a:endParaRPr lang="ja-JP"/>
          </a:p>
        </c:txPr>
        <c:crossAx val="396633456"/>
        <c:crossesAt val="0.1"/>
        <c:auto val="1"/>
        <c:lblAlgn val="ctr"/>
        <c:lblOffset val="100"/>
        <c:tickLblSkip val="1"/>
        <c:tickMarkSkip val="1"/>
        <c:noMultiLvlLbl val="0"/>
      </c:catAx>
      <c:valAx>
        <c:axId val="396633456"/>
        <c:scaling>
          <c:logBase val="10"/>
          <c:orientation val="minMax"/>
          <c:max val="1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>
                    <a:latin typeface="+mn-lt"/>
                  </a:rPr>
                  <a:t>Rate per 100,000 population</a:t>
                </a:r>
                <a:endParaRPr lang="ja-JP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14870689655172431"/>
              <c:y val="0.47727272727272751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ja-JP"/>
          </a:p>
        </c:txPr>
        <c:crossAx val="3966338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+mj-lt"/>
                <a:ea typeface="ＭＳ Ｐゴシック"/>
                <a:cs typeface="ＭＳ Ｐゴシック"/>
              </a:defRPr>
            </a:pPr>
            <a:r>
              <a:rPr lang="en-US" altLang="ja-JP" b="0">
                <a:solidFill>
                  <a:sysClr val="windowText" lastClr="000000"/>
                </a:solidFill>
                <a:latin typeface="+mj-lt"/>
              </a:rPr>
              <a:t>Trends of notification rates for sputum smear</a:t>
            </a:r>
            <a:r>
              <a:rPr lang="en-US" altLang="ja-JP" b="0" baseline="0">
                <a:solidFill>
                  <a:sysClr val="windowText" lastClr="000000"/>
                </a:solidFill>
                <a:latin typeface="+mj-lt"/>
              </a:rPr>
              <a:t> positive pulmonary TB by age group in </a:t>
            </a:r>
          </a:p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+mj-lt"/>
                <a:ea typeface="ＭＳ Ｐゴシック"/>
                <a:cs typeface="ＭＳ Ｐゴシック"/>
              </a:defRPr>
            </a:pPr>
            <a:r>
              <a:rPr lang="en-US" altLang="ja-JP" b="0" baseline="0">
                <a:solidFill>
                  <a:sysClr val="windowText" lastClr="000000"/>
                </a:solidFill>
                <a:latin typeface="+mj-lt"/>
              </a:rPr>
              <a:t>Japan,1975-2022</a:t>
            </a:r>
            <a:endParaRPr lang="ja-JP" altLang="en-US" b="0">
              <a:solidFill>
                <a:sysClr val="windowText" lastClr="000000"/>
              </a:solidFill>
              <a:latin typeface="+mj-lt"/>
            </a:endParaRPr>
          </a:p>
        </c:rich>
      </c:tx>
      <c:layout>
        <c:manualLayout>
          <c:xMode val="edge"/>
          <c:yMode val="edge"/>
          <c:x val="0.2670049837804222"/>
          <c:y val="1.9869007889630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81776885452147"/>
          <c:y val="9.9163795507340557E-2"/>
          <c:w val="0.70107674117259167"/>
          <c:h val="0.84587912312285685"/>
        </c:manualLayout>
      </c:layout>
      <c:lineChart>
        <c:grouping val="standard"/>
        <c:varyColors val="0"/>
        <c:ser>
          <c:idx val="0"/>
          <c:order val="0"/>
          <c:tx>
            <c:v>年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'Smear+'!$A$154:$A$201</c:f>
              <c:numCache>
                <c:formatCode>General</c:formatCod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A-412D-9637-EC758F0D5583}"/>
            </c:ext>
          </c:extLst>
        </c:ser>
        <c:ser>
          <c:idx val="1"/>
          <c:order val="1"/>
          <c:tx>
            <c:v>total前半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'Smear+'!$B$154:$B$199</c:f>
              <c:numCache>
                <c:formatCode>0.00</c:formatCode>
                <c:ptCount val="46"/>
                <c:pt idx="0">
                  <c:v>12.242035485196634</c:v>
                </c:pt>
                <c:pt idx="1">
                  <c:v>11.814017650283855</c:v>
                </c:pt>
                <c:pt idx="2">
                  <c:v>11.714876395045289</c:v>
                </c:pt>
                <c:pt idx="3">
                  <c:v>11.459183496275202</c:v>
                </c:pt>
                <c:pt idx="4">
                  <c:v>11.027012132641024</c:v>
                </c:pt>
                <c:pt idx="5">
                  <c:v>10.512675767217489</c:v>
                </c:pt>
                <c:pt idx="6">
                  <c:v>10.361032879780122</c:v>
                </c:pt>
                <c:pt idx="7">
                  <c:v>10.656904787982443</c:v>
                </c:pt>
                <c:pt idx="8">
                  <c:v>10.888578291472427</c:v>
                </c:pt>
                <c:pt idx="9">
                  <c:v>11.042541689191999</c:v>
                </c:pt>
                <c:pt idx="10">
                  <c:v>11.409118701766563</c:v>
                </c:pt>
                <c:pt idx="11">
                  <c:v>11.296765073311855</c:v>
                </c:pt>
                <c:pt idx="12">
                  <c:v>11.781881829483741</c:v>
                </c:pt>
                <c:pt idx="13">
                  <c:v>11.884381388302941</c:v>
                </c:pt>
                <c:pt idx="14">
                  <c:v>11.934607115330007</c:v>
                </c:pt>
                <c:pt idx="15">
                  <c:v>12.537820564679233</c:v>
                </c:pt>
                <c:pt idx="16">
                  <c:v>12.322339833767323</c:v>
                </c:pt>
                <c:pt idx="17">
                  <c:v>12.486741876386077</c:v>
                </c:pt>
                <c:pt idx="18">
                  <c:v>12.191016639415215</c:v>
                </c:pt>
                <c:pt idx="19">
                  <c:v>11.818385399171426</c:v>
                </c:pt>
                <c:pt idx="20">
                  <c:v>12.027650136578295</c:v>
                </c:pt>
                <c:pt idx="21">
                  <c:v>11.945433165956906</c:v>
                </c:pt>
                <c:pt idx="22">
                  <c:v>12.655549038568235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9A-412D-9637-EC758F0D5583}"/>
            </c:ext>
          </c:extLst>
        </c:ser>
        <c:ser>
          <c:idx val="2"/>
          <c:order val="2"/>
          <c:tx>
            <c:v>15-19前半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'Smear+'!$C$154:$C$198</c:f>
              <c:numCache>
                <c:formatCode>0.00</c:formatCode>
                <c:ptCount val="45"/>
                <c:pt idx="0">
                  <c:v>3.6704214656372609</c:v>
                </c:pt>
                <c:pt idx="1">
                  <c:v>3.7163876204972097</c:v>
                </c:pt>
                <c:pt idx="2">
                  <c:v>3.3412887828162292</c:v>
                </c:pt>
                <c:pt idx="3">
                  <c:v>3.0061120119745541</c:v>
                </c:pt>
                <c:pt idx="4">
                  <c:v>2.4417451660882499</c:v>
                </c:pt>
                <c:pt idx="5">
                  <c:v>2.1147301895964996</c:v>
                </c:pt>
                <c:pt idx="6">
                  <c:v>2.2080471050049066</c:v>
                </c:pt>
                <c:pt idx="7">
                  <c:v>1.9610173520323271</c:v>
                </c:pt>
                <c:pt idx="8">
                  <c:v>2.0644861980978892</c:v>
                </c:pt>
                <c:pt idx="9">
                  <c:v>2.4801812004530013</c:v>
                </c:pt>
                <c:pt idx="10">
                  <c:v>2.3846668152440382</c:v>
                </c:pt>
                <c:pt idx="11">
                  <c:v>2.2184838607927664</c:v>
                </c:pt>
                <c:pt idx="12">
                  <c:v>2.6733500417710943</c:v>
                </c:pt>
                <c:pt idx="13">
                  <c:v>2.0222446916076846</c:v>
                </c:pt>
                <c:pt idx="14">
                  <c:v>2.2242170357071616</c:v>
                </c:pt>
                <c:pt idx="15">
                  <c:v>2.2255489021956087</c:v>
                </c:pt>
                <c:pt idx="16">
                  <c:v>1.8993736108304708</c:v>
                </c:pt>
                <c:pt idx="17">
                  <c:v>1.8911055694098089</c:v>
                </c:pt>
                <c:pt idx="18">
                  <c:v>1.4894765245547761</c:v>
                </c:pt>
                <c:pt idx="19">
                  <c:v>1.623999097778279</c:v>
                </c:pt>
                <c:pt idx="20">
                  <c:v>1.2696563774024461</c:v>
                </c:pt>
                <c:pt idx="21">
                  <c:v>1.4921751789397064</c:v>
                </c:pt>
                <c:pt idx="22">
                  <c:v>1.5490318550905684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9A-412D-9637-EC758F0D5583}"/>
            </c:ext>
          </c:extLst>
        </c:ser>
        <c:ser>
          <c:idx val="3"/>
          <c:order val="3"/>
          <c:tx>
            <c:v>20-前半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'Smear+'!$D$154:$D$198</c:f>
              <c:numCache>
                <c:formatCode>0.00</c:formatCode>
                <c:ptCount val="45"/>
                <c:pt idx="0">
                  <c:v>10.567191101312757</c:v>
                </c:pt>
                <c:pt idx="1">
                  <c:v>10.186384929731885</c:v>
                </c:pt>
                <c:pt idx="2">
                  <c:v>9.6994322029483779</c:v>
                </c:pt>
                <c:pt idx="3">
                  <c:v>8.914940021810251</c:v>
                </c:pt>
                <c:pt idx="4">
                  <c:v>8.2829435253850541</c:v>
                </c:pt>
                <c:pt idx="5">
                  <c:v>7.1695206494045154</c:v>
                </c:pt>
                <c:pt idx="6">
                  <c:v>6.7381503594492509</c:v>
                </c:pt>
                <c:pt idx="7">
                  <c:v>7.2005467196819088</c:v>
                </c:pt>
                <c:pt idx="8">
                  <c:v>6.5629313590161873</c:v>
                </c:pt>
                <c:pt idx="9">
                  <c:v>6.5374239287282769</c:v>
                </c:pt>
                <c:pt idx="10">
                  <c:v>6.7654198045683698</c:v>
                </c:pt>
                <c:pt idx="11">
                  <c:v>6.3800277392510401</c:v>
                </c:pt>
                <c:pt idx="12">
                  <c:v>6.4352766798418974</c:v>
                </c:pt>
                <c:pt idx="13">
                  <c:v>6.7168711283857645</c:v>
                </c:pt>
                <c:pt idx="14">
                  <c:v>6.5663801337153771</c:v>
                </c:pt>
                <c:pt idx="15">
                  <c:v>6.6160140268848631</c:v>
                </c:pt>
                <c:pt idx="16">
                  <c:v>6.3136690647482014</c:v>
                </c:pt>
                <c:pt idx="17">
                  <c:v>6.2804638915345397</c:v>
                </c:pt>
                <c:pt idx="18">
                  <c:v>6.4258783673023334</c:v>
                </c:pt>
                <c:pt idx="19">
                  <c:v>5.6704898702969233</c:v>
                </c:pt>
                <c:pt idx="20">
                  <c:v>5.8213412978550094</c:v>
                </c:pt>
                <c:pt idx="21">
                  <c:v>5.9644537375849449</c:v>
                </c:pt>
                <c:pt idx="22">
                  <c:v>6.1261922230374175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9A-412D-9637-EC758F0D5583}"/>
            </c:ext>
          </c:extLst>
        </c:ser>
        <c:ser>
          <c:idx val="4"/>
          <c:order val="4"/>
          <c:tx>
            <c:v>30-前半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'Smear+'!$E$154:$E$198</c:f>
              <c:numCache>
                <c:formatCode>0.00</c:formatCode>
                <c:ptCount val="45"/>
                <c:pt idx="0">
                  <c:v>12.072377721232684</c:v>
                </c:pt>
                <c:pt idx="1">
                  <c:v>11.330955941562177</c:v>
                </c:pt>
                <c:pt idx="2">
                  <c:v>11.427774679308422</c:v>
                </c:pt>
                <c:pt idx="3">
                  <c:v>10.25297459534784</c:v>
                </c:pt>
                <c:pt idx="4">
                  <c:v>9.7888478884788857</c:v>
                </c:pt>
                <c:pt idx="5">
                  <c:v>9.2136854741896759</c:v>
                </c:pt>
                <c:pt idx="6">
                  <c:v>8.657577868444621</c:v>
                </c:pt>
                <c:pt idx="7">
                  <c:v>8.1869886250249451</c:v>
                </c:pt>
                <c:pt idx="8">
                  <c:v>8.2100406239029038</c:v>
                </c:pt>
                <c:pt idx="9">
                  <c:v>7.9328756674294434</c:v>
                </c:pt>
                <c:pt idx="10">
                  <c:v>7.8488664987405539</c:v>
                </c:pt>
                <c:pt idx="11">
                  <c:v>7.5777331995987964</c:v>
                </c:pt>
                <c:pt idx="12">
                  <c:v>8.0668756530825494</c:v>
                </c:pt>
                <c:pt idx="13">
                  <c:v>7.7230213859869821</c:v>
                </c:pt>
                <c:pt idx="14">
                  <c:v>7.8535830898779855</c:v>
                </c:pt>
                <c:pt idx="15">
                  <c:v>7.4137931034482758</c:v>
                </c:pt>
                <c:pt idx="16">
                  <c:v>7.1280107592615236</c:v>
                </c:pt>
                <c:pt idx="17">
                  <c:v>6.9681846537741734</c:v>
                </c:pt>
                <c:pt idx="18">
                  <c:v>6.745756294566795</c:v>
                </c:pt>
                <c:pt idx="19">
                  <c:v>6.5240777067645386</c:v>
                </c:pt>
                <c:pt idx="20">
                  <c:v>6.816740646797717</c:v>
                </c:pt>
                <c:pt idx="21">
                  <c:v>6.3890473474044498</c:v>
                </c:pt>
                <c:pt idx="22">
                  <c:v>6.699427718337895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9A-412D-9637-EC758F0D5583}"/>
            </c:ext>
          </c:extLst>
        </c:ser>
        <c:ser>
          <c:idx val="5"/>
          <c:order val="5"/>
          <c:tx>
            <c:v>40-前半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'Smear+'!$F$154:$F$198</c:f>
              <c:numCache>
                <c:formatCode>0.00</c:formatCode>
                <c:ptCount val="45"/>
                <c:pt idx="0">
                  <c:v>17.34130043690568</c:v>
                </c:pt>
                <c:pt idx="1">
                  <c:v>16.523821527602724</c:v>
                </c:pt>
                <c:pt idx="2">
                  <c:v>15.87360594795539</c:v>
                </c:pt>
                <c:pt idx="3">
                  <c:v>15.527187921934454</c:v>
                </c:pt>
                <c:pt idx="4">
                  <c:v>13.816597102872576</c:v>
                </c:pt>
                <c:pt idx="5">
                  <c:v>12.8237947217651</c:v>
                </c:pt>
                <c:pt idx="6">
                  <c:v>12.553051587064379</c:v>
                </c:pt>
                <c:pt idx="7">
                  <c:v>12.139543078639807</c:v>
                </c:pt>
                <c:pt idx="8">
                  <c:v>12.170785473952895</c:v>
                </c:pt>
                <c:pt idx="9">
                  <c:v>11.87949332420404</c:v>
                </c:pt>
                <c:pt idx="10">
                  <c:v>11.785755511947363</c:v>
                </c:pt>
                <c:pt idx="11">
                  <c:v>11.536435469710272</c:v>
                </c:pt>
                <c:pt idx="12">
                  <c:v>11.273982681532628</c:v>
                </c:pt>
                <c:pt idx="13">
                  <c:v>11.118953254791249</c:v>
                </c:pt>
                <c:pt idx="14">
                  <c:v>10.631349782293178</c:v>
                </c:pt>
                <c:pt idx="15">
                  <c:v>11.577079107505071</c:v>
                </c:pt>
                <c:pt idx="16">
                  <c:v>11.39030162646659</c:v>
                </c:pt>
                <c:pt idx="17">
                  <c:v>11.361113913833115</c:v>
                </c:pt>
                <c:pt idx="18">
                  <c:v>10.443374714973398</c:v>
                </c:pt>
                <c:pt idx="19">
                  <c:v>9.5788392398561886</c:v>
                </c:pt>
                <c:pt idx="20">
                  <c:v>9.887525562372188</c:v>
                </c:pt>
                <c:pt idx="21">
                  <c:v>10.126838142402345</c:v>
                </c:pt>
                <c:pt idx="22">
                  <c:v>9.9963171463145155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9A-412D-9637-EC758F0D5583}"/>
            </c:ext>
          </c:extLst>
        </c:ser>
        <c:ser>
          <c:idx val="6"/>
          <c:order val="6"/>
          <c:tx>
            <c:v>50-前半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'Smear+'!$G$154:$G$198</c:f>
              <c:numCache>
                <c:formatCode>0.00</c:formatCode>
                <c:ptCount val="45"/>
                <c:pt idx="0">
                  <c:v>22.773792443806791</c:v>
                </c:pt>
                <c:pt idx="1">
                  <c:v>21.798990362551628</c:v>
                </c:pt>
                <c:pt idx="2">
                  <c:v>20.840306526909188</c:v>
                </c:pt>
                <c:pt idx="3">
                  <c:v>20.916905444126076</c:v>
                </c:pt>
                <c:pt idx="4">
                  <c:v>19.872980143098321</c:v>
                </c:pt>
                <c:pt idx="5">
                  <c:v>19.163081736409854</c:v>
                </c:pt>
                <c:pt idx="6">
                  <c:v>19.01297532438311</c:v>
                </c:pt>
                <c:pt idx="7">
                  <c:v>19.551374819102751</c:v>
                </c:pt>
                <c:pt idx="8">
                  <c:v>19.516806722689076</c:v>
                </c:pt>
                <c:pt idx="9">
                  <c:v>19.616015304728069</c:v>
                </c:pt>
                <c:pt idx="10">
                  <c:v>19.148650463273803</c:v>
                </c:pt>
                <c:pt idx="11">
                  <c:v>18.553521034324341</c:v>
                </c:pt>
                <c:pt idx="12">
                  <c:v>19.512825482974737</c:v>
                </c:pt>
                <c:pt idx="13">
                  <c:v>18.706416735973388</c:v>
                </c:pt>
                <c:pt idx="14">
                  <c:v>17.666240409207163</c:v>
                </c:pt>
                <c:pt idx="15">
                  <c:v>17.972204674668351</c:v>
                </c:pt>
                <c:pt idx="16">
                  <c:v>16.860753221010903</c:v>
                </c:pt>
                <c:pt idx="17">
                  <c:v>16.552101709349717</c:v>
                </c:pt>
                <c:pt idx="18">
                  <c:v>15.756592779479787</c:v>
                </c:pt>
                <c:pt idx="19">
                  <c:v>15.192716954362734</c:v>
                </c:pt>
                <c:pt idx="20">
                  <c:v>15.538199541957837</c:v>
                </c:pt>
                <c:pt idx="21">
                  <c:v>15.319763940744309</c:v>
                </c:pt>
                <c:pt idx="22">
                  <c:v>15.623362254702149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9A-412D-9637-EC758F0D5583}"/>
            </c:ext>
          </c:extLst>
        </c:ser>
        <c:ser>
          <c:idx val="7"/>
          <c:order val="7"/>
          <c:tx>
            <c:v>60-前半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'Smear+'!$H$154:$H$198</c:f>
              <c:numCache>
                <c:formatCode>0.00</c:formatCode>
                <c:ptCount val="45"/>
                <c:pt idx="0">
                  <c:v>29.878678368611254</c:v>
                </c:pt>
                <c:pt idx="1">
                  <c:v>28.395989974937343</c:v>
                </c:pt>
                <c:pt idx="2">
                  <c:v>29.82803414573797</c:v>
                </c:pt>
                <c:pt idx="3">
                  <c:v>29.61787327554633</c:v>
                </c:pt>
                <c:pt idx="4">
                  <c:v>28.241864983001456</c:v>
                </c:pt>
                <c:pt idx="5">
                  <c:v>27.153736316039982</c:v>
                </c:pt>
                <c:pt idx="6">
                  <c:v>26.550116550116549</c:v>
                </c:pt>
                <c:pt idx="7">
                  <c:v>26.5546410608139</c:v>
                </c:pt>
                <c:pt idx="8">
                  <c:v>27.5315395779837</c:v>
                </c:pt>
                <c:pt idx="9">
                  <c:v>27.189840442852493</c:v>
                </c:pt>
                <c:pt idx="10">
                  <c:v>27.658241069563402</c:v>
                </c:pt>
                <c:pt idx="11">
                  <c:v>27.594127634075701</c:v>
                </c:pt>
                <c:pt idx="12">
                  <c:v>26.579374940265698</c:v>
                </c:pt>
                <c:pt idx="13">
                  <c:v>27.120658135283364</c:v>
                </c:pt>
                <c:pt idx="14">
                  <c:v>26.732328074609953</c:v>
                </c:pt>
                <c:pt idx="15">
                  <c:v>28.741554054054053</c:v>
                </c:pt>
                <c:pt idx="16">
                  <c:v>27.736398963730569</c:v>
                </c:pt>
                <c:pt idx="17">
                  <c:v>26.970241349683668</c:v>
                </c:pt>
                <c:pt idx="18">
                  <c:v>25.73373676248109</c:v>
                </c:pt>
                <c:pt idx="19">
                  <c:v>24.219384365542187</c:v>
                </c:pt>
                <c:pt idx="20">
                  <c:v>23.315691603490201</c:v>
                </c:pt>
                <c:pt idx="21">
                  <c:v>22.424499012136607</c:v>
                </c:pt>
                <c:pt idx="22">
                  <c:v>22.663243355769897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9A-412D-9637-EC758F0D5583}"/>
            </c:ext>
          </c:extLst>
        </c:ser>
        <c:ser>
          <c:idx val="8"/>
          <c:order val="8"/>
          <c:tx>
            <c:v>70-前半a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'Smear+'!$I$154:$I$198</c:f>
              <c:numCache>
                <c:formatCode>0.00</c:formatCode>
                <c:ptCount val="45"/>
                <c:pt idx="0">
                  <c:v>31.576016335622796</c:v>
                </c:pt>
                <c:pt idx="1">
                  <c:v>31.064289573203673</c:v>
                </c:pt>
                <c:pt idx="2">
                  <c:v>30.462328767123289</c:v>
                </c:pt>
                <c:pt idx="3">
                  <c:v>31.288947195801903</c:v>
                </c:pt>
                <c:pt idx="4">
                  <c:v>33.698372966207756</c:v>
                </c:pt>
                <c:pt idx="5">
                  <c:v>33.006929798131971</c:v>
                </c:pt>
                <c:pt idx="6">
                  <c:v>31.956989247311828</c:v>
                </c:pt>
                <c:pt idx="7">
                  <c:v>35.01577287066246</c:v>
                </c:pt>
                <c:pt idx="8">
                  <c:v>36.350480199973688</c:v>
                </c:pt>
                <c:pt idx="9">
                  <c:v>37.43531490596996</c:v>
                </c:pt>
                <c:pt idx="10">
                  <c:v>41.142787524366469</c:v>
                </c:pt>
                <c:pt idx="11">
                  <c:v>39.62505822077317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9A-412D-9637-EC758F0D5583}"/>
            </c:ext>
          </c:extLst>
        </c:ser>
        <c:ser>
          <c:idx val="9"/>
          <c:order val="9"/>
          <c:tx>
            <c:v>70-前半b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'Smear+'!$J$154:$J$198</c:f>
              <c:numCache>
                <c:formatCode>General</c:formatCode>
                <c:ptCount val="45"/>
                <c:pt idx="12" formatCode="0.00">
                  <c:v>41.586163913991896</c:v>
                </c:pt>
                <c:pt idx="13" formatCode="0.00">
                  <c:v>41.35453294603272</c:v>
                </c:pt>
                <c:pt idx="14" formatCode="0.00">
                  <c:v>43.323756237713596</c:v>
                </c:pt>
                <c:pt idx="15" formatCode="0.00">
                  <c:v>42.861322410766533</c:v>
                </c:pt>
                <c:pt idx="16" formatCode="0.00">
                  <c:v>41.579923000142593</c:v>
                </c:pt>
                <c:pt idx="17" formatCode="0.00">
                  <c:v>41.883433022673529</c:v>
                </c:pt>
                <c:pt idx="18" formatCode="0.00">
                  <c:v>40.630496549857938</c:v>
                </c:pt>
                <c:pt idx="19" formatCode="0.00">
                  <c:v>39.761717727153702</c:v>
                </c:pt>
                <c:pt idx="20" formatCode="0.00">
                  <c:v>38.533007334963322</c:v>
                </c:pt>
                <c:pt idx="21" formatCode="0.00">
                  <c:v>37.261222540592165</c:v>
                </c:pt>
                <c:pt idx="22" formatCode="0.00">
                  <c:v>39.227966294693694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9A-412D-9637-EC758F0D5583}"/>
            </c:ext>
          </c:extLst>
        </c:ser>
        <c:ser>
          <c:idx val="10"/>
          <c:order val="10"/>
          <c:tx>
            <c:v>80-前半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'Smear+'!$K$154:$K$198</c:f>
              <c:numCache>
                <c:formatCode>General</c:formatCode>
                <c:ptCount val="45"/>
                <c:pt idx="12" formatCode="0.00">
                  <c:v>43.422114608555283</c:v>
                </c:pt>
                <c:pt idx="13" formatCode="0.00">
                  <c:v>45.509893455098933</c:v>
                </c:pt>
                <c:pt idx="14" formatCode="0.00">
                  <c:v>44.281629735525378</c:v>
                </c:pt>
                <c:pt idx="15" formatCode="0.00">
                  <c:v>47.681895093062607</c:v>
                </c:pt>
                <c:pt idx="16" formatCode="0.00">
                  <c:v>47.197452229299365</c:v>
                </c:pt>
                <c:pt idx="17" formatCode="0.00">
                  <c:v>49.729891956782716</c:v>
                </c:pt>
                <c:pt idx="18" formatCode="0.00">
                  <c:v>48.620983793005401</c:v>
                </c:pt>
                <c:pt idx="19" formatCode="0.00">
                  <c:v>47.43210540467868</c:v>
                </c:pt>
                <c:pt idx="20" formatCode="0.00">
                  <c:v>45.627186406796604</c:v>
                </c:pt>
                <c:pt idx="21" formatCode="0.00">
                  <c:v>46.24235006119951</c:v>
                </c:pt>
                <c:pt idx="22" formatCode="0.00">
                  <c:v>53.541275797373359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9A-412D-9637-EC758F0D5583}"/>
            </c:ext>
          </c:extLst>
        </c:ser>
        <c:ser>
          <c:idx val="11"/>
          <c:order val="11"/>
          <c:tx>
            <c:v>total後半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'Smear+'!$L$154:$L$201</c:f>
              <c:numCache>
                <c:formatCode>0.00</c:formatCode>
                <c:ptCount val="48"/>
                <c:pt idx="23">
                  <c:v>10.598010847050267</c:v>
                </c:pt>
                <c:pt idx="24">
                  <c:v>11.431413100105773</c:v>
                </c:pt>
                <c:pt idx="25">
                  <c:v>10.415304249166791</c:v>
                </c:pt>
                <c:pt idx="26">
                  <c:v>9.942572530658099</c:v>
                </c:pt>
                <c:pt idx="27">
                  <c:v>9.3639894848354057</c:v>
                </c:pt>
                <c:pt idx="28">
                  <c:v>9.2909363025881735</c:v>
                </c:pt>
                <c:pt idx="29">
                  <c:v>8.9633518967000825</c:v>
                </c:pt>
                <c:pt idx="30">
                  <c:v>8.8704412413601759</c:v>
                </c:pt>
                <c:pt idx="31">
                  <c:v>8.2116302731470618</c:v>
                </c:pt>
                <c:pt idx="32">
                  <c:v>7.9861756200716734</c:v>
                </c:pt>
                <c:pt idx="33" formatCode="0.00_ ">
                  <c:v>7.6817654982301162</c:v>
                </c:pt>
                <c:pt idx="34" formatCode="0.00_ ">
                  <c:v>7.5876659513713198</c:v>
                </c:pt>
                <c:pt idx="35" formatCode="0.00_ ">
                  <c:v>7.0430124320609737</c:v>
                </c:pt>
                <c:pt idx="36" formatCode="0.00_ ">
                  <c:v>6.7715866664813751</c:v>
                </c:pt>
                <c:pt idx="37" formatCode="0.00_ ">
                  <c:v>6.4596254626499903</c:v>
                </c:pt>
                <c:pt idx="38" formatCode="0.00_ ">
                  <c:v>6.3779635397300156</c:v>
                </c:pt>
                <c:pt idx="39" formatCode="0.00_ ">
                  <c:v>6.0204833825727464</c:v>
                </c:pt>
                <c:pt idx="40" formatCode="0.00_ ">
                  <c:v>5.610101486901109</c:v>
                </c:pt>
                <c:pt idx="41" formatCode="0.00_ ">
                  <c:v>5.2326912075945211</c:v>
                </c:pt>
                <c:pt idx="42" formatCode="0.00_ ">
                  <c:v>5.0186964001211933</c:v>
                </c:pt>
                <c:pt idx="43" formatCode="0.00_ ">
                  <c:v>4.5720140856944598</c:v>
                </c:pt>
                <c:pt idx="44" formatCode="0.00_ ">
                  <c:v>4.1460937931224269</c:v>
                </c:pt>
                <c:pt idx="45" formatCode="0.00_ ">
                  <c:v>3.6561241211913487</c:v>
                </c:pt>
                <c:pt idx="46" formatCode="0.00_ ">
                  <c:v>3.2883862119169298</c:v>
                </c:pt>
                <c:pt idx="47" formatCode="0.00_ ">
                  <c:v>2.9636615951771277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D9A-412D-9637-EC758F0D5583}"/>
            </c:ext>
          </c:extLst>
        </c:ser>
        <c:ser>
          <c:idx val="12"/>
          <c:order val="12"/>
          <c:tx>
            <c:v>15-19後半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'Smear+'!$M$154:$M$201</c:f>
              <c:numCache>
                <c:formatCode>0.00</c:formatCode>
                <c:ptCount val="48"/>
                <c:pt idx="23">
                  <c:v>1.549891123350839</c:v>
                </c:pt>
                <c:pt idx="24">
                  <c:v>1.3977792292619202</c:v>
                </c:pt>
                <c:pt idx="25">
                  <c:v>1.2760866675528379</c:v>
                </c:pt>
                <c:pt idx="26">
                  <c:v>1.3061224489795917</c:v>
                </c:pt>
                <c:pt idx="27">
                  <c:v>1.1537392271337226</c:v>
                </c:pt>
                <c:pt idx="28" formatCode="0.00_ ">
                  <c:v>0.94326139774188933</c:v>
                </c:pt>
                <c:pt idx="29" formatCode="0.00_ ">
                  <c:v>1.1536352229089475</c:v>
                </c:pt>
                <c:pt idx="30" formatCode="0.00_ ">
                  <c:v>1.1031946678924385</c:v>
                </c:pt>
                <c:pt idx="31" formatCode="0.00_ ">
                  <c:v>0.8250312616798352</c:v>
                </c:pt>
                <c:pt idx="32" formatCode="0.00_ ">
                  <c:v>0.82780969355599499</c:v>
                </c:pt>
                <c:pt idx="33" formatCode="0.00_ ">
                  <c:v>0.89358245329000807</c:v>
                </c:pt>
                <c:pt idx="34" formatCode="0.00_ ">
                  <c:v>0.78966057920616406</c:v>
                </c:pt>
                <c:pt idx="35" formatCode="0.00_ ">
                  <c:v>0.99760574620909814</c:v>
                </c:pt>
                <c:pt idx="36" formatCode="0.00_ ">
                  <c:v>0.74069294623293447</c:v>
                </c:pt>
                <c:pt idx="37" formatCode="0.00_ ">
                  <c:v>0.66120489384190129</c:v>
                </c:pt>
                <c:pt idx="38" formatCode="0.00_ ">
                  <c:v>0.81029839651869351</c:v>
                </c:pt>
                <c:pt idx="39" formatCode="0.00_ ">
                  <c:v>0.59946078502387101</c:v>
                </c:pt>
                <c:pt idx="40" formatCode="0.00_ ">
                  <c:v>0.69579974543911749</c:v>
                </c:pt>
                <c:pt idx="41" formatCode="0.00_ ">
                  <c:v>0.77817726050146074</c:v>
                </c:pt>
                <c:pt idx="42" formatCode="0.00_ ">
                  <c:v>0.66719530774883962</c:v>
                </c:pt>
                <c:pt idx="43" formatCode="0.00_ ">
                  <c:v>0.67720751449774308</c:v>
                </c:pt>
                <c:pt idx="44" formatCode="0.00_ ">
                  <c:v>0.65289549703130134</c:v>
                </c:pt>
                <c:pt idx="45" formatCode="0.00_ ">
                  <c:v>0.35048944097985635</c:v>
                </c:pt>
                <c:pt idx="46" formatCode="0.00_ ">
                  <c:v>0.6272731932470994</c:v>
                </c:pt>
                <c:pt idx="47">
                  <c:v>1.3790595462052867E-2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D9A-412D-9637-EC758F0D5583}"/>
            </c:ext>
          </c:extLst>
        </c:ser>
        <c:ser>
          <c:idx val="13"/>
          <c:order val="13"/>
          <c:tx>
            <c:v>20-後半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'Smear+'!$N$154:$N$201</c:f>
              <c:numCache>
                <c:formatCode>0.00</c:formatCode>
                <c:ptCount val="48"/>
                <c:pt idx="23">
                  <c:v>5.3756647185805297</c:v>
                </c:pt>
                <c:pt idx="24">
                  <c:v>5.4671280276816612</c:v>
                </c:pt>
                <c:pt idx="25">
                  <c:v>5.2891911640717213</c:v>
                </c:pt>
                <c:pt idx="26">
                  <c:v>4.7587131367292228</c:v>
                </c:pt>
                <c:pt idx="27">
                  <c:v>4.6150318179212295</c:v>
                </c:pt>
                <c:pt idx="28" formatCode="0.00_ ">
                  <c:v>4.868847627468317</c:v>
                </c:pt>
                <c:pt idx="29" formatCode="0.00_ ">
                  <c:v>4.3688710655130416</c:v>
                </c:pt>
                <c:pt idx="30" formatCode="0.00_ ">
                  <c:v>4.6214316376904918</c:v>
                </c:pt>
                <c:pt idx="31" formatCode="0.00_ ">
                  <c:v>3.9669684629269506</c:v>
                </c:pt>
                <c:pt idx="32" formatCode="0.00_ ">
                  <c:v>3.858177903643071</c:v>
                </c:pt>
                <c:pt idx="33" formatCode="0.00_ ">
                  <c:v>3.2914828639294198</c:v>
                </c:pt>
                <c:pt idx="34" formatCode="0.00_ ">
                  <c:v>3.6488610801586101</c:v>
                </c:pt>
                <c:pt idx="35" formatCode="0.00_ ">
                  <c:v>2.7665369926533865</c:v>
                </c:pt>
                <c:pt idx="36" formatCode="0.00_ ">
                  <c:v>2.6491594511412577</c:v>
                </c:pt>
                <c:pt idx="37" formatCode="0.00_ ">
                  <c:v>2.5299675405915276</c:v>
                </c:pt>
                <c:pt idx="38" formatCode="0.00_ ">
                  <c:v>2.7305767459954029</c:v>
                </c:pt>
                <c:pt idx="39" formatCode="0.00_ ">
                  <c:v>2.5542161491053568</c:v>
                </c:pt>
                <c:pt idx="40" formatCode="0.00_ ">
                  <c:v>2.3199091104101948</c:v>
                </c:pt>
                <c:pt idx="41" formatCode="0.00_ ">
                  <c:v>2.2482233056568011</c:v>
                </c:pt>
                <c:pt idx="42" formatCode="0.00_ ">
                  <c:v>2.3085473366033762</c:v>
                </c:pt>
                <c:pt idx="43" formatCode="0.00_ ">
                  <c:v>2.3580381377616866</c:v>
                </c:pt>
                <c:pt idx="44" formatCode="0.00_ ">
                  <c:v>2.3440041482538274</c:v>
                </c:pt>
                <c:pt idx="45" formatCode="0.00_ ">
                  <c:v>2.0072244336675298</c:v>
                </c:pt>
                <c:pt idx="46" formatCode="0.00_ ">
                  <c:v>1.5978025627012924</c:v>
                </c:pt>
                <c:pt idx="47" formatCode="0.00_ ">
                  <c:v>0.30839970125139526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D9A-412D-9637-EC758F0D5583}"/>
            </c:ext>
          </c:extLst>
        </c:ser>
        <c:ser>
          <c:idx val="14"/>
          <c:order val="14"/>
          <c:tx>
            <c:v>30-後半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'Smear+'!$O$154:$O$201</c:f>
              <c:numCache>
                <c:formatCode>0.00</c:formatCode>
                <c:ptCount val="48"/>
                <c:pt idx="23">
                  <c:v>5.4885883864651532</c:v>
                </c:pt>
                <c:pt idx="24">
                  <c:v>5.9961431842834756</c:v>
                </c:pt>
                <c:pt idx="25">
                  <c:v>5.6241015812170581</c:v>
                </c:pt>
                <c:pt idx="26">
                  <c:v>5.3924678470500025</c:v>
                </c:pt>
                <c:pt idx="27">
                  <c:v>5.0918102962712632</c:v>
                </c:pt>
                <c:pt idx="28" formatCode="0.00_ ">
                  <c:v>4.9424844515383342</c:v>
                </c:pt>
                <c:pt idx="29" formatCode="0.00_ ">
                  <c:v>4.7942820124382939</c:v>
                </c:pt>
                <c:pt idx="30" formatCode="0.00_ ">
                  <c:v>4.8805791992503433</c:v>
                </c:pt>
                <c:pt idx="31" formatCode="0.00_ ">
                  <c:v>4.128704567399252</c:v>
                </c:pt>
                <c:pt idx="32" formatCode="0.00_ ">
                  <c:v>4.0872985229258862</c:v>
                </c:pt>
                <c:pt idx="33" formatCode="0.00_ ">
                  <c:v>3.832303144316044</c:v>
                </c:pt>
                <c:pt idx="34" formatCode="0.00_ ">
                  <c:v>3.7310022744910936</c:v>
                </c:pt>
                <c:pt idx="35" formatCode="0.00_ ">
                  <c:v>3.3334079062171411</c:v>
                </c:pt>
                <c:pt idx="36" formatCode="0.00_ ">
                  <c:v>2.9205986395963865</c:v>
                </c:pt>
                <c:pt idx="37" formatCode="0.00_ ">
                  <c:v>2.5965840893034819</c:v>
                </c:pt>
                <c:pt idx="38" formatCode="0.00_ ">
                  <c:v>2.469546061469639</c:v>
                </c:pt>
                <c:pt idx="39" formatCode="0.00_ ">
                  <c:v>2.113179017557667</c:v>
                </c:pt>
                <c:pt idx="40" formatCode="0.00_ ">
                  <c:v>2.2528354653270495</c:v>
                </c:pt>
                <c:pt idx="41" formatCode="0.00_ ">
                  <c:v>1.8341942989338649</c:v>
                </c:pt>
                <c:pt idx="42" formatCode="0.00_ ">
                  <c:v>2.033865663773065</c:v>
                </c:pt>
                <c:pt idx="43" formatCode="0.00_ ">
                  <c:v>1.7703338391657859</c:v>
                </c:pt>
                <c:pt idx="44" formatCode="0.00_ ">
                  <c:v>1.3913124215114521</c:v>
                </c:pt>
                <c:pt idx="45" formatCode="0.00_ ">
                  <c:v>1.365029410051176</c:v>
                </c:pt>
                <c:pt idx="46" formatCode="0.00_ ">
                  <c:v>1.2149972939350211</c:v>
                </c:pt>
                <c:pt idx="47" formatCode="0.00_ ">
                  <c:v>1.5620863035326187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D9A-412D-9637-EC758F0D5583}"/>
            </c:ext>
          </c:extLst>
        </c:ser>
        <c:ser>
          <c:idx val="15"/>
          <c:order val="15"/>
          <c:tx>
            <c:v>40-後半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'Smear+'!$P$154:$P$201</c:f>
              <c:numCache>
                <c:formatCode>0.00</c:formatCode>
                <c:ptCount val="48"/>
                <c:pt idx="23">
                  <c:v>8.5980073760114486</c:v>
                </c:pt>
                <c:pt idx="24">
                  <c:v>8.4597197393460579</c:v>
                </c:pt>
                <c:pt idx="25">
                  <c:v>7.9937958599296071</c:v>
                </c:pt>
                <c:pt idx="26">
                  <c:v>6.9336117423079289</c:v>
                </c:pt>
                <c:pt idx="27">
                  <c:v>6.4020566842237274</c:v>
                </c:pt>
                <c:pt idx="28" formatCode="0.00_ ">
                  <c:v>5.8842158601469468</c:v>
                </c:pt>
                <c:pt idx="29" formatCode="0.00_ ">
                  <c:v>5.6208494689566066</c:v>
                </c:pt>
                <c:pt idx="30" formatCode="0.00_ ">
                  <c:v>5.5408670571417726</c:v>
                </c:pt>
                <c:pt idx="31" formatCode="0.00_ ">
                  <c:v>5.0074406741074045</c:v>
                </c:pt>
                <c:pt idx="32" formatCode="0.00_ ">
                  <c:v>4.8078821686494742</c:v>
                </c:pt>
                <c:pt idx="33" formatCode="0.00_ ">
                  <c:v>4.4603694322604559</c:v>
                </c:pt>
                <c:pt idx="34" formatCode="0.00_ ">
                  <c:v>4.3882809494484665</c:v>
                </c:pt>
                <c:pt idx="35" formatCode="0.00_ ">
                  <c:v>3.7032361233850946</c:v>
                </c:pt>
                <c:pt idx="36" formatCode="0.00_ ">
                  <c:v>3.616724428166934</c:v>
                </c:pt>
                <c:pt idx="37" formatCode="0.00_ ">
                  <c:v>3.1402377561705532</c:v>
                </c:pt>
                <c:pt idx="38" formatCode="0.00_ ">
                  <c:v>2.8937757981080683</c:v>
                </c:pt>
                <c:pt idx="39" formatCode="0.00_ ">
                  <c:v>2.6084766251964169</c:v>
                </c:pt>
                <c:pt idx="40" formatCode="0.00_ ">
                  <c:v>2.484376881067297</c:v>
                </c:pt>
                <c:pt idx="41" formatCode="0.00_ ">
                  <c:v>2.0322117139210292</c:v>
                </c:pt>
                <c:pt idx="42" formatCode="0.00_ ">
                  <c:v>1.9630109476750173</c:v>
                </c:pt>
                <c:pt idx="43" formatCode="0.00_ ">
                  <c:v>1.7111479851952116</c:v>
                </c:pt>
                <c:pt idx="44" formatCode="0.00_ ">
                  <c:v>1.663088955550438</c:v>
                </c:pt>
                <c:pt idx="45" formatCode="0.00_);[Red]\(0.00\)">
                  <c:v>1.2319635896976882</c:v>
                </c:pt>
                <c:pt idx="46" formatCode="0.00_);[Red]\(0.00\)">
                  <c:v>1.0165116681855697</c:v>
                </c:pt>
                <c:pt idx="47" formatCode="0.00_);[Red]\(0.00\)">
                  <c:v>0.99577994317611052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D9A-412D-9637-EC758F0D5583}"/>
            </c:ext>
          </c:extLst>
        </c:ser>
        <c:ser>
          <c:idx val="16"/>
          <c:order val="16"/>
          <c:tx>
            <c:v>50-後半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'Smear+'!$Q$154:$Q$201</c:f>
              <c:numCache>
                <c:formatCode>0.00</c:formatCode>
                <c:ptCount val="48"/>
                <c:pt idx="23">
                  <c:v>12.58659217877095</c:v>
                </c:pt>
                <c:pt idx="24">
                  <c:v>12.541993281075028</c:v>
                </c:pt>
                <c:pt idx="25">
                  <c:v>11.329234902102598</c:v>
                </c:pt>
                <c:pt idx="26">
                  <c:v>10.633238562936159</c:v>
                </c:pt>
                <c:pt idx="27">
                  <c:v>9.5250454191539067</c:v>
                </c:pt>
                <c:pt idx="28" formatCode="0.00_ ">
                  <c:v>9.5814001980920604</c:v>
                </c:pt>
                <c:pt idx="29" formatCode="0.00_ ">
                  <c:v>9.0126616015895653</c:v>
                </c:pt>
                <c:pt idx="30" formatCode="0.00_ ">
                  <c:v>8.0469120039539526</c:v>
                </c:pt>
                <c:pt idx="31" formatCode="0.00_ ">
                  <c:v>7.4359510513842402</c:v>
                </c:pt>
                <c:pt idx="32" formatCode="0.00_ ">
                  <c:v>6.8707138850256904</c:v>
                </c:pt>
                <c:pt idx="33" formatCode="0.00_ ">
                  <c:v>6.8856172140430347</c:v>
                </c:pt>
                <c:pt idx="34" formatCode="0.00_ ">
                  <c:v>6.0630043947002825</c:v>
                </c:pt>
                <c:pt idx="35" formatCode="0.00_ ">
                  <c:v>5.3017164229769849</c:v>
                </c:pt>
                <c:pt idx="36" formatCode="0.00_ ">
                  <c:v>5.1317455040207447</c:v>
                </c:pt>
                <c:pt idx="37" formatCode="0.00_ ">
                  <c:v>4.350139949759722</c:v>
                </c:pt>
                <c:pt idx="38" formatCode="0.00_ ">
                  <c:v>4.2870031578336834</c:v>
                </c:pt>
                <c:pt idx="39" formatCode="0.00_ ">
                  <c:v>3.8652324862884599</c:v>
                </c:pt>
                <c:pt idx="40">
                  <c:v>3.4879551455487823</c:v>
                </c:pt>
                <c:pt idx="41" formatCode="0.00_ ">
                  <c:v>2.932072615464437</c:v>
                </c:pt>
                <c:pt idx="42" formatCode="0.00_ ">
                  <c:v>2.85110410435168</c:v>
                </c:pt>
                <c:pt idx="43" formatCode="0.00_ ">
                  <c:v>2.6044849730897992</c:v>
                </c:pt>
                <c:pt idx="44" formatCode="0.00_);[Red]\(0.00\)">
                  <c:v>2.2361671407156707</c:v>
                </c:pt>
                <c:pt idx="45" formatCode="0.00_);[Red]\(0.00\)">
                  <c:v>1.8407250034191318</c:v>
                </c:pt>
                <c:pt idx="46" formatCode="0.00_);[Red]\(0.00\)">
                  <c:v>1.7041016614347035</c:v>
                </c:pt>
                <c:pt idx="47" formatCode="0.00_);[Red]\(0.00\)">
                  <c:v>0.97080529965485285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D9A-412D-9637-EC758F0D5583}"/>
            </c:ext>
          </c:extLst>
        </c:ser>
        <c:ser>
          <c:idx val="17"/>
          <c:order val="17"/>
          <c:tx>
            <c:v>60-後半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'Smear+'!$R$154:$R$201</c:f>
              <c:numCache>
                <c:formatCode>0.00</c:formatCode>
                <c:ptCount val="48"/>
                <c:pt idx="23">
                  <c:v>17.922844590884129</c:v>
                </c:pt>
                <c:pt idx="24">
                  <c:v>18.208627666140867</c:v>
                </c:pt>
                <c:pt idx="25">
                  <c:v>15.145283269205255</c:v>
                </c:pt>
                <c:pt idx="26">
                  <c:v>14.458703520895032</c:v>
                </c:pt>
                <c:pt idx="27">
                  <c:v>13.02016024812613</c:v>
                </c:pt>
                <c:pt idx="28" formatCode="0.00_ ">
                  <c:v>12.32414539435992</c:v>
                </c:pt>
                <c:pt idx="29" formatCode="0.00_ ">
                  <c:v>11.509369758540174</c:v>
                </c:pt>
                <c:pt idx="30" formatCode="0.00_ ">
                  <c:v>10.861466328242841</c:v>
                </c:pt>
                <c:pt idx="31" formatCode="0.00_ ">
                  <c:v>9.9573906131488421</c:v>
                </c:pt>
                <c:pt idx="32" formatCode="0.00_ ">
                  <c:v>9.2208453148633591</c:v>
                </c:pt>
                <c:pt idx="33" formatCode="0.00_ ">
                  <c:v>8.4117647058823533</c:v>
                </c:pt>
                <c:pt idx="34" formatCode="0.00_ ">
                  <c:v>8.2031421630382368</c:v>
                </c:pt>
                <c:pt idx="35" formatCode="0.00_ ">
                  <c:v>7.6672554647825129</c:v>
                </c:pt>
                <c:pt idx="36" formatCode="0.00_ ">
                  <c:v>6.7108029489247327</c:v>
                </c:pt>
                <c:pt idx="37" formatCode="0.00_ ">
                  <c:v>6.2926259691849946</c:v>
                </c:pt>
                <c:pt idx="38" formatCode="0.00_ ">
                  <c:v>6.092931747239926</c:v>
                </c:pt>
                <c:pt idx="39" formatCode="0.00_ ">
                  <c:v>5.5695901261423932</c:v>
                </c:pt>
                <c:pt idx="40">
                  <c:v>5.2052598176210569</c:v>
                </c:pt>
                <c:pt idx="41" formatCode="0.00_ ">
                  <c:v>4.6216659250484042</c:v>
                </c:pt>
                <c:pt idx="42" formatCode="0.00_ ">
                  <c:v>4.5358527851743959</c:v>
                </c:pt>
                <c:pt idx="43" formatCode="0.00_);[Red]\(0.00\)">
                  <c:v>4.0862716309265315</c:v>
                </c:pt>
                <c:pt idx="44" formatCode="0.00_);[Red]\(0.00\)">
                  <c:v>3.2344351893734085</c:v>
                </c:pt>
                <c:pt idx="45">
                  <c:v>3.1188877931324006</c:v>
                </c:pt>
                <c:pt idx="46">
                  <c:v>2.4835517122319768</c:v>
                </c:pt>
                <c:pt idx="47">
                  <c:v>1.5077128937722033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D9A-412D-9637-EC758F0D5583}"/>
            </c:ext>
          </c:extLst>
        </c:ser>
        <c:ser>
          <c:idx val="18"/>
          <c:order val="18"/>
          <c:tx>
            <c:v>70-後半</c:v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'Smear+'!$S$154:$S$201</c:f>
              <c:numCache>
                <c:formatCode>0.00</c:formatCode>
                <c:ptCount val="48"/>
                <c:pt idx="23">
                  <c:v>31.400021722602368</c:v>
                </c:pt>
                <c:pt idx="24">
                  <c:v>35.227155127807102</c:v>
                </c:pt>
                <c:pt idx="25">
                  <c:v>29.8283685144999</c:v>
                </c:pt>
                <c:pt idx="26">
                  <c:v>27.816968541468064</c:v>
                </c:pt>
                <c:pt idx="27">
                  <c:v>25.404263138552004</c:v>
                </c:pt>
                <c:pt idx="28" formatCode="0.00_ ">
                  <c:v>24.147121535181238</c:v>
                </c:pt>
                <c:pt idx="29" formatCode="0.00_ ">
                  <c:v>23.227727022494228</c:v>
                </c:pt>
                <c:pt idx="30" formatCode="0.00_ ">
                  <c:v>20.908192056333952</c:v>
                </c:pt>
                <c:pt idx="31" formatCode="0.00_ ">
                  <c:v>20.103575123944101</c:v>
                </c:pt>
                <c:pt idx="32" formatCode="0.00_ ">
                  <c:v>18.410976561761739</c:v>
                </c:pt>
                <c:pt idx="33" formatCode="0.00_ ">
                  <c:v>17.621040992022746</c:v>
                </c:pt>
                <c:pt idx="34" formatCode="0.00_ ">
                  <c:v>15.821661812096663</c:v>
                </c:pt>
                <c:pt idx="35" formatCode="0.00_ ">
                  <c:v>15.464197358522759</c:v>
                </c:pt>
                <c:pt idx="36" formatCode="0.00_ ">
                  <c:v>13.634206325236226</c:v>
                </c:pt>
                <c:pt idx="37" formatCode="0.00_ ">
                  <c:v>13.194344117285924</c:v>
                </c:pt>
                <c:pt idx="38" formatCode="0.00_);[Red]\(0.00\)">
                  <c:v>12.102618403650242</c:v>
                </c:pt>
                <c:pt idx="39" formatCode="0.00_);[Red]\(0.00\)">
                  <c:v>11.11468139533344</c:v>
                </c:pt>
                <c:pt idx="40" formatCode="0.00_);[Red]\(0.00\)">
                  <c:v>10.098257189987807</c:v>
                </c:pt>
                <c:pt idx="41" formatCode="0.00_);[Red]\(0.00\)">
                  <c:v>8.9856667849205287</c:v>
                </c:pt>
                <c:pt idx="42" formatCode="0.00_);[Red]\(0.00\)">
                  <c:v>8.545450441529896</c:v>
                </c:pt>
                <c:pt idx="43" formatCode="0.00_);[Red]\(0.00\)">
                  <c:v>7.2594802647303656</c:v>
                </c:pt>
                <c:pt idx="44">
                  <c:v>6.4984291381776993</c:v>
                </c:pt>
                <c:pt idx="45">
                  <c:v>5.6911957202208185</c:v>
                </c:pt>
                <c:pt idx="46">
                  <c:v>4.8462357748636613</c:v>
                </c:pt>
                <c:pt idx="47">
                  <c:v>2.1162435915203921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D9A-412D-9637-EC758F0D5583}"/>
            </c:ext>
          </c:extLst>
        </c:ser>
        <c:ser>
          <c:idx val="19"/>
          <c:order val="19"/>
          <c:tx>
            <c:v>80-後半a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'Smear+'!$T$154:$T$199</c:f>
              <c:numCache>
                <c:formatCode>General</c:formatCode>
                <c:ptCount val="46"/>
                <c:pt idx="23" formatCode="0.00">
                  <c:v>45.904590459045906</c:v>
                </c:pt>
                <c:pt idx="24" formatCode="0.00">
                  <c:v>53.84951881014873</c:v>
                </c:pt>
                <c:pt idx="25" formatCode="0.00">
                  <c:v>48.660170523751525</c:v>
                </c:pt>
                <c:pt idx="26" formatCode="0.00">
                  <c:v>48.304254067829838</c:v>
                </c:pt>
                <c:pt idx="27" formatCode="0.00">
                  <c:v>46.554934823091244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D9A-412D-9637-EC758F0D5583}"/>
            </c:ext>
          </c:extLst>
        </c:ser>
        <c:ser>
          <c:idx val="20"/>
          <c:order val="20"/>
          <c:tx>
            <c:v>80-後半b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'Smear+'!$U$154:$U$201</c:f>
              <c:numCache>
                <c:formatCode>General</c:formatCode>
                <c:ptCount val="48"/>
                <c:pt idx="28" formatCode="0.00_ ">
                  <c:v>46.716101694915253</c:v>
                </c:pt>
                <c:pt idx="29" formatCode="0.00_ ">
                  <c:v>43.367673477760341</c:v>
                </c:pt>
                <c:pt idx="30" formatCode="0.00_ ">
                  <c:v>42.475025336615026</c:v>
                </c:pt>
                <c:pt idx="31" formatCode="0.00_ ">
                  <c:v>41.011673679972475</c:v>
                </c:pt>
                <c:pt idx="32" formatCode="0.00_ ">
                  <c:v>41.665166551643765</c:v>
                </c:pt>
                <c:pt idx="33" formatCode="0.00_ ">
                  <c:v>38.825605647360824</c:v>
                </c:pt>
                <c:pt idx="34" formatCode="0.00_ ">
                  <c:v>39.132643979579761</c:v>
                </c:pt>
                <c:pt idx="35" formatCode="0.00_ ">
                  <c:v>37.020176804017737</c:v>
                </c:pt>
                <c:pt idx="36" formatCode="0.00_ ">
                  <c:v>36.016122412113781</c:v>
                </c:pt>
                <c:pt idx="37" formatCode="0.00_ ">
                  <c:v>34.162636276132325</c:v>
                </c:pt>
                <c:pt idx="38" formatCode="0.00_ ">
                  <c:v>33.950724880496047</c:v>
                </c:pt>
                <c:pt idx="39" formatCode="0.00_ ">
                  <c:v>32.238160450471874</c:v>
                </c:pt>
                <c:pt idx="40" formatCode="0.00_ ">
                  <c:v>29.132118564122933</c:v>
                </c:pt>
                <c:pt idx="41" formatCode="0.00_ ">
                  <c:v>26.196400862884609</c:v>
                </c:pt>
                <c:pt idx="42" formatCode="0.00_);[Red]\(0.00\)">
                  <c:v>22.960109370682392</c:v>
                </c:pt>
                <c:pt idx="43" formatCode="0.00_);[Red]\(0.00\)">
                  <c:v>20.957075913480793</c:v>
                </c:pt>
                <c:pt idx="44" formatCode="0.00_);[Red]\(0.00\)">
                  <c:v>17.841255111603484</c:v>
                </c:pt>
                <c:pt idx="45" formatCode="0.00_);[Red]\(0.00\)">
                  <c:v>15.897929606285697</c:v>
                </c:pt>
                <c:pt idx="46" formatCode="0.00_);[Red]\(0.00\)">
                  <c:v>14.562953986046908</c:v>
                </c:pt>
                <c:pt idx="47" formatCode="0.00_);[Red]\(0.00\)">
                  <c:v>12.796834222013834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D9A-412D-9637-EC758F0D5583}"/>
            </c:ext>
          </c:extLst>
        </c:ser>
        <c:ser>
          <c:idx val="21"/>
          <c:order val="21"/>
          <c:tx>
            <c:v>90-後半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'Smear+'!$A$154:$A$201</c:f>
              <c:strCache>
                <c:ptCount val="48"/>
                <c:pt idx="0">
                  <c:v>75</c:v>
                </c:pt>
                <c:pt idx="5">
                  <c:v>80</c:v>
                </c:pt>
                <c:pt idx="10">
                  <c:v>85</c:v>
                </c:pt>
                <c:pt idx="15">
                  <c:v>90</c:v>
                </c:pt>
                <c:pt idx="20">
                  <c:v>95</c:v>
                </c:pt>
                <c:pt idx="25">
                  <c:v>2000</c:v>
                </c:pt>
                <c:pt idx="30">
                  <c:v>05</c:v>
                </c:pt>
                <c:pt idx="35">
                  <c:v>10</c:v>
                </c:pt>
                <c:pt idx="40">
                  <c:v>15</c:v>
                </c:pt>
                <c:pt idx="47">
                  <c:v>2022</c:v>
                </c:pt>
              </c:strCache>
            </c:strRef>
          </c:cat>
          <c:val>
            <c:numRef>
              <c:f>'Smear+'!$V$154:$V$201</c:f>
              <c:numCache>
                <c:formatCode>General</c:formatCode>
                <c:ptCount val="48"/>
                <c:pt idx="28" formatCode="0.00_ ">
                  <c:v>47.046186895810955</c:v>
                </c:pt>
                <c:pt idx="29" formatCode="0.00_ ">
                  <c:v>47.736173488018217</c:v>
                </c:pt>
                <c:pt idx="30" formatCode="0.00_ ">
                  <c:v>44.202833972016755</c:v>
                </c:pt>
                <c:pt idx="31" formatCode="0.00_ ">
                  <c:v>43.652955538945108</c:v>
                </c:pt>
                <c:pt idx="32" formatCode="0.00_ ">
                  <c:v>40.498184944983826</c:v>
                </c:pt>
                <c:pt idx="33" formatCode="0.00_ ">
                  <c:v>41.714024583152693</c:v>
                </c:pt>
                <c:pt idx="34" formatCode="0.00_ ">
                  <c:v>47.225359717369756</c:v>
                </c:pt>
                <c:pt idx="35" formatCode="0.00_ ">
                  <c:v>43.073767489561206</c:v>
                </c:pt>
                <c:pt idx="36" formatCode="0.00_ ">
                  <c:v>45.515102298305152</c:v>
                </c:pt>
                <c:pt idx="37" formatCode="0.00_ ">
                  <c:v>44.379685886081667</c:v>
                </c:pt>
                <c:pt idx="38" formatCode="0.00_ ">
                  <c:v>43.636345604815865</c:v>
                </c:pt>
                <c:pt idx="39" formatCode="0.00_ ">
                  <c:v>42.06160102066378</c:v>
                </c:pt>
                <c:pt idx="40" formatCode="0.00_ ">
                  <c:v>41.820752664781381</c:v>
                </c:pt>
                <c:pt idx="41" formatCode="0.00_ ">
                  <c:v>45.140027478343164</c:v>
                </c:pt>
                <c:pt idx="42" formatCode="0.00_ ">
                  <c:v>42.052328866733539</c:v>
                </c:pt>
                <c:pt idx="43" formatCode="0.00_ ">
                  <c:v>36.335411126241958</c:v>
                </c:pt>
                <c:pt idx="44" formatCode="0.00_ ">
                  <c:v>37.71684479323504</c:v>
                </c:pt>
                <c:pt idx="45" formatCode="0.00_ ">
                  <c:v>31.02865425130199</c:v>
                </c:pt>
                <c:pt idx="46" formatCode="0.00_ ">
                  <c:v>27.666962598937097</c:v>
                </c:pt>
                <c:pt idx="47" formatCode="0.00_ ">
                  <c:v>22.865879670867844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D9A-412D-9637-EC758F0D5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636200"/>
        <c:axId val="396636592"/>
      </c:lineChart>
      <c:catAx>
        <c:axId val="396636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396636592"/>
        <c:crossesAt val="0.1"/>
        <c:auto val="1"/>
        <c:lblAlgn val="ctr"/>
        <c:lblOffset val="100"/>
        <c:tickMarkSkip val="1"/>
        <c:noMultiLvlLbl val="0"/>
      </c:catAx>
      <c:valAx>
        <c:axId val="396636592"/>
        <c:scaling>
          <c:logBase val="10"/>
          <c:orientation val="minMax"/>
          <c:max val="1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900">
                    <a:latin typeface="+mn-lt"/>
                  </a:rPr>
                  <a:t>Rate per100,000 population</a:t>
                </a:r>
                <a:endParaRPr lang="ja-JP" altLang="en-US" sz="900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14838740840769582"/>
              <c:y val="0.47789780967393042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ＭＳ Ｐゴシック"/>
                <a:cs typeface="ＭＳ Ｐゴシック"/>
              </a:defRPr>
            </a:pPr>
            <a:endParaRPr lang="ja-JP"/>
          </a:p>
        </c:txPr>
        <c:crossAx val="3966362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526472</xdr:colOff>
      <xdr:row>8</xdr:row>
      <xdr:rowOff>104775</xdr:rowOff>
    </xdr:from>
    <xdr:to>
      <xdr:col>7</xdr:col>
      <xdr:colOff>145472</xdr:colOff>
      <xdr:row>55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311012</xdr:colOff>
      <xdr:row>8</xdr:row>
      <xdr:rowOff>102953</xdr:rowOff>
    </xdr:from>
    <xdr:to>
      <xdr:col>13</xdr:col>
      <xdr:colOff>625337</xdr:colOff>
      <xdr:row>55</xdr:row>
      <xdr:rowOff>18885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473304</xdr:colOff>
      <xdr:row>39</xdr:row>
      <xdr:rowOff>116853</xdr:rowOff>
    </xdr:from>
    <xdr:to>
      <xdr:col>14</xdr:col>
      <xdr:colOff>225654</xdr:colOff>
      <xdr:row>40</xdr:row>
      <xdr:rowOff>116854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9388704" y="6803403"/>
          <a:ext cx="4381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60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69</a:t>
          </a:r>
        </a:p>
      </xdr:txBody>
    </xdr:sp>
    <xdr:clientData/>
  </xdr:twoCellAnchor>
  <xdr:twoCellAnchor>
    <xdr:from>
      <xdr:col>13</xdr:col>
      <xdr:colOff>474692</xdr:colOff>
      <xdr:row>37</xdr:row>
      <xdr:rowOff>70968</xdr:rowOff>
    </xdr:from>
    <xdr:to>
      <xdr:col>14</xdr:col>
      <xdr:colOff>360392</xdr:colOff>
      <xdr:row>38</xdr:row>
      <xdr:rowOff>125999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9390092" y="6414618"/>
          <a:ext cx="571500" cy="226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Total</a:t>
          </a:r>
          <a:endParaRPr lang="ja-JP" altLang="en-US" sz="8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</xdr:txBody>
    </xdr:sp>
    <xdr:clientData/>
  </xdr:twoCellAnchor>
  <xdr:twoCellAnchor>
    <xdr:from>
      <xdr:col>13</xdr:col>
      <xdr:colOff>476195</xdr:colOff>
      <xdr:row>41</xdr:row>
      <xdr:rowOff>106428</xdr:rowOff>
    </xdr:from>
    <xdr:to>
      <xdr:col>14</xdr:col>
      <xdr:colOff>144444</xdr:colOff>
      <xdr:row>42</xdr:row>
      <xdr:rowOff>93352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9391595" y="7135878"/>
          <a:ext cx="354049" cy="158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800" b="0" i="0" baseline="0">
              <a:effectLst/>
              <a:latin typeface="+mn-lt"/>
              <a:ea typeface="ＭＳ ゴシック" panose="020B0609070205080204" pitchFamily="49" charset="-128"/>
              <a:cs typeface="+mn-cs"/>
            </a:rPr>
            <a:t>40</a:t>
          </a:r>
          <a:r>
            <a:rPr lang="ja-JP" altLang="ja-JP" sz="800" b="0" i="0" baseline="0">
              <a:effectLst/>
              <a:latin typeface="+mn-lt"/>
              <a:ea typeface="ＭＳ ゴシック" panose="020B0609070205080204" pitchFamily="49" charset="-128"/>
              <a:cs typeface="+mn-cs"/>
            </a:rPr>
            <a:t>～</a:t>
          </a:r>
          <a:r>
            <a:rPr lang="en-US" altLang="ja-JP" sz="800" b="0" i="0" baseline="0">
              <a:effectLst/>
              <a:latin typeface="+mn-lt"/>
              <a:ea typeface="ＭＳ ゴシック" panose="020B0609070205080204" pitchFamily="49" charset="-128"/>
              <a:cs typeface="+mn-cs"/>
            </a:rPr>
            <a:t>49</a:t>
          </a:r>
          <a:endParaRPr lang="ja-JP" altLang="ja-JP" sz="800">
            <a:effectLst/>
            <a:latin typeface="+mn-lt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474980</xdr:colOff>
      <xdr:row>51</xdr:row>
      <xdr:rowOff>60960</xdr:rowOff>
    </xdr:from>
    <xdr:to>
      <xdr:col>14</xdr:col>
      <xdr:colOff>265430</xdr:colOff>
      <xdr:row>52</xdr:row>
      <xdr:rowOff>41910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9390380" y="8804910"/>
          <a:ext cx="4762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19</a:t>
          </a:r>
        </a:p>
      </xdr:txBody>
    </xdr:sp>
    <xdr:clientData/>
  </xdr:twoCellAnchor>
  <xdr:twoCellAnchor>
    <xdr:from>
      <xdr:col>7</xdr:col>
      <xdr:colOff>19578</xdr:colOff>
      <xdr:row>25</xdr:row>
      <xdr:rowOff>28822</xdr:rowOff>
    </xdr:from>
    <xdr:to>
      <xdr:col>7</xdr:col>
      <xdr:colOff>495828</xdr:colOff>
      <xdr:row>26</xdr:row>
      <xdr:rowOff>11890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4831774" y="4273659"/>
          <a:ext cx="476250" cy="15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90yrs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</a:p>
      </xdr:txBody>
    </xdr:sp>
    <xdr:clientData/>
  </xdr:twoCellAnchor>
  <xdr:twoCellAnchor>
    <xdr:from>
      <xdr:col>7</xdr:col>
      <xdr:colOff>12336</xdr:colOff>
      <xdr:row>33</xdr:row>
      <xdr:rowOff>48353</xdr:rowOff>
    </xdr:from>
    <xdr:to>
      <xdr:col>7</xdr:col>
      <xdr:colOff>599038</xdr:colOff>
      <xdr:row>34</xdr:row>
      <xdr:rowOff>61437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4824532" y="5651538"/>
          <a:ext cx="586702" cy="182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Total</a:t>
          </a:r>
          <a:endParaRPr lang="ja-JP" altLang="en-US" sz="8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</xdr:txBody>
    </xdr:sp>
    <xdr:clientData/>
  </xdr:twoCellAnchor>
  <xdr:twoCellAnchor>
    <xdr:from>
      <xdr:col>7</xdr:col>
      <xdr:colOff>7647</xdr:colOff>
      <xdr:row>34</xdr:row>
      <xdr:rowOff>48896</xdr:rowOff>
    </xdr:from>
    <xdr:to>
      <xdr:col>7</xdr:col>
      <xdr:colOff>548641</xdr:colOff>
      <xdr:row>38</xdr:row>
      <xdr:rowOff>99060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4808247" y="5878196"/>
          <a:ext cx="540994" cy="7359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ゴシック" pitchFamily="49" charset="-128"/>
            </a:rPr>
            <a:t>20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ゴシック" pitchFamily="49" charset="-128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ゴシック" pitchFamily="49" charset="-128"/>
            </a:rPr>
            <a:t>29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800" b="0" i="0" baseline="0">
              <a:effectLst/>
              <a:latin typeface="+mn-lt"/>
              <a:ea typeface="ＭＳ ゴシック" panose="020B0609070205080204" pitchFamily="49" charset="-128"/>
              <a:cs typeface="+mn-cs"/>
            </a:rPr>
            <a:t>60</a:t>
          </a:r>
          <a:r>
            <a:rPr lang="ja-JP" altLang="ja-JP" sz="800" b="0" i="0" baseline="0">
              <a:effectLst/>
              <a:latin typeface="+mn-lt"/>
              <a:ea typeface="ＭＳ ゴシック" panose="020B0609070205080204" pitchFamily="49" charset="-128"/>
              <a:cs typeface="+mn-cs"/>
            </a:rPr>
            <a:t>～</a:t>
          </a:r>
          <a:r>
            <a:rPr lang="en-US" altLang="ja-JP" sz="800" b="0" i="0" baseline="0">
              <a:effectLst/>
              <a:latin typeface="+mn-lt"/>
              <a:ea typeface="ＭＳ ゴシック" panose="020B0609070205080204" pitchFamily="49" charset="-128"/>
              <a:cs typeface="+mn-cs"/>
            </a:rPr>
            <a:t>69</a:t>
          </a:r>
          <a:endParaRPr lang="ja-JP" altLang="ja-JP" sz="800">
            <a:effectLst/>
            <a:latin typeface="+mn-lt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50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59</a:t>
          </a:r>
          <a:endParaRPr lang="ja-JP" altLang="ja-JP" sz="800">
            <a:effectLst/>
            <a:latin typeface="+mn-lt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ゴシック" pitchFamily="49" charset="-128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ゴシック" pitchFamily="49" charset="-128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ゴシック" pitchFamily="49" charset="-128"/>
            </a:rPr>
            <a:t>39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40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49</a:t>
          </a:r>
          <a:endParaRPr lang="ja-JP" altLang="ja-JP" sz="800">
            <a:effectLst/>
            <a:latin typeface="+mn-lt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1986</xdr:colOff>
      <xdr:row>41</xdr:row>
      <xdr:rowOff>3295</xdr:rowOff>
    </xdr:from>
    <xdr:to>
      <xdr:col>7</xdr:col>
      <xdr:colOff>478236</xdr:colOff>
      <xdr:row>41</xdr:row>
      <xdr:rowOff>155696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4802586" y="7032745"/>
          <a:ext cx="476250" cy="15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19</a:t>
          </a:r>
        </a:p>
      </xdr:txBody>
    </xdr:sp>
    <xdr:clientData/>
  </xdr:twoCellAnchor>
  <xdr:twoCellAnchor>
    <xdr:from>
      <xdr:col>7</xdr:col>
      <xdr:colOff>15323</xdr:colOff>
      <xdr:row>48</xdr:row>
      <xdr:rowOff>40584</xdr:rowOff>
    </xdr:from>
    <xdr:to>
      <xdr:col>7</xdr:col>
      <xdr:colOff>491573</xdr:colOff>
      <xdr:row>49</xdr:row>
      <xdr:rowOff>21535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4827519" y="8190671"/>
          <a:ext cx="476250" cy="150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14</a:t>
          </a:r>
        </a:p>
      </xdr:txBody>
    </xdr:sp>
    <xdr:clientData/>
  </xdr:twoCellAnchor>
  <xdr:twoCellAnchor>
    <xdr:from>
      <xdr:col>6</xdr:col>
      <xdr:colOff>684598</xdr:colOff>
      <xdr:row>31</xdr:row>
      <xdr:rowOff>57455</xdr:rowOff>
    </xdr:from>
    <xdr:to>
      <xdr:col>7</xdr:col>
      <xdr:colOff>473391</xdr:colOff>
      <xdr:row>32</xdr:row>
      <xdr:rowOff>38405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4809337" y="5321053"/>
          <a:ext cx="476250" cy="15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70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79</a:t>
          </a:r>
        </a:p>
      </xdr:txBody>
    </xdr:sp>
    <xdr:clientData/>
  </xdr:twoCellAnchor>
  <xdr:twoCellAnchor>
    <xdr:from>
      <xdr:col>13</xdr:col>
      <xdr:colOff>465282</xdr:colOff>
      <xdr:row>28</xdr:row>
      <xdr:rowOff>97272</xdr:rowOff>
    </xdr:from>
    <xdr:to>
      <xdr:col>14</xdr:col>
      <xdr:colOff>255732</xdr:colOff>
      <xdr:row>29</xdr:row>
      <xdr:rowOff>78221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9408199" y="4838605"/>
          <a:ext cx="478366" cy="150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90rrs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</a:p>
      </xdr:txBody>
    </xdr:sp>
    <xdr:clientData/>
  </xdr:twoCellAnchor>
  <xdr:twoCellAnchor>
    <xdr:from>
      <xdr:col>13</xdr:col>
      <xdr:colOff>478325</xdr:colOff>
      <xdr:row>38</xdr:row>
      <xdr:rowOff>112493</xdr:rowOff>
    </xdr:from>
    <xdr:to>
      <xdr:col>14</xdr:col>
      <xdr:colOff>268775</xdr:colOff>
      <xdr:row>39</xdr:row>
      <xdr:rowOff>133659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9393725" y="6627593"/>
          <a:ext cx="476250" cy="192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70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79</a:t>
          </a:r>
        </a:p>
      </xdr:txBody>
    </xdr:sp>
    <xdr:clientData/>
  </xdr:twoCellAnchor>
  <xdr:twoCellAnchor>
    <xdr:from>
      <xdr:col>7</xdr:col>
      <xdr:colOff>10224</xdr:colOff>
      <xdr:row>27</xdr:row>
      <xdr:rowOff>60747</xdr:rowOff>
    </xdr:from>
    <xdr:to>
      <xdr:col>7</xdr:col>
      <xdr:colOff>486474</xdr:colOff>
      <xdr:row>28</xdr:row>
      <xdr:rowOff>37848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4822420" y="4645171"/>
          <a:ext cx="476250" cy="146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80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89</a:t>
          </a:r>
        </a:p>
      </xdr:txBody>
    </xdr:sp>
    <xdr:clientData/>
  </xdr:twoCellAnchor>
  <xdr:twoCellAnchor>
    <xdr:from>
      <xdr:col>13</xdr:col>
      <xdr:colOff>476867</xdr:colOff>
      <xdr:row>31</xdr:row>
      <xdr:rowOff>28576</xdr:rowOff>
    </xdr:from>
    <xdr:to>
      <xdr:col>14</xdr:col>
      <xdr:colOff>267317</xdr:colOff>
      <xdr:row>32</xdr:row>
      <xdr:rowOff>9524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9392267" y="5343526"/>
          <a:ext cx="476250" cy="15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80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89</a:t>
          </a:r>
        </a:p>
      </xdr:txBody>
    </xdr:sp>
    <xdr:clientData/>
  </xdr:twoCellAnchor>
  <xdr:oneCellAnchor>
    <xdr:from>
      <xdr:col>13</xdr:col>
      <xdr:colOff>417272</xdr:colOff>
      <xdr:row>42</xdr:row>
      <xdr:rowOff>38100</xdr:rowOff>
    </xdr:from>
    <xdr:ext cx="495264" cy="158751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9332672" y="7239000"/>
          <a:ext cx="495264" cy="158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59</a:t>
          </a:r>
          <a:endParaRPr lang="ja-JP" altLang="ja-JP" sz="800">
            <a:effectLst/>
          </a:endParaRPr>
        </a:p>
      </xdr:txBody>
    </xdr:sp>
    <xdr:clientData/>
  </xdr:oneCellAnchor>
  <xdr:oneCellAnchor>
    <xdr:from>
      <xdr:col>13</xdr:col>
      <xdr:colOff>428625</xdr:colOff>
      <xdr:row>43</xdr:row>
      <xdr:rowOff>0</xdr:rowOff>
    </xdr:from>
    <xdr:ext cx="184731" cy="225703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9344025" y="7372350"/>
          <a:ext cx="18473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13</xdr:col>
      <xdr:colOff>414732</xdr:colOff>
      <xdr:row>46</xdr:row>
      <xdr:rowOff>152400</xdr:rowOff>
    </xdr:from>
    <xdr:ext cx="516178" cy="19337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6A70CB-DB7B-CFB0-9A24-8E3068A01E12}"/>
            </a:ext>
          </a:extLst>
        </xdr:cNvPr>
        <xdr:cNvSpPr txBox="1"/>
      </xdr:nvSpPr>
      <xdr:spPr>
        <a:xfrm>
          <a:off x="9330132" y="8039100"/>
          <a:ext cx="516178" cy="19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29</a:t>
          </a:r>
          <a:endParaRPr lang="ja-JP" altLang="ja-JP" sz="800">
            <a:effectLst/>
          </a:endParaRPr>
        </a:p>
      </xdr:txBody>
    </xdr:sp>
    <xdr:clientData/>
  </xdr:oneCellAnchor>
  <xdr:twoCellAnchor>
    <xdr:from>
      <xdr:col>13</xdr:col>
      <xdr:colOff>478937</xdr:colOff>
      <xdr:row>40</xdr:row>
      <xdr:rowOff>79060</xdr:rowOff>
    </xdr:from>
    <xdr:to>
      <xdr:col>14</xdr:col>
      <xdr:colOff>167239</xdr:colOff>
      <xdr:row>41</xdr:row>
      <xdr:rowOff>70998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3F465CB-1D0A-21B5-40CB-A721781CB7B7}"/>
            </a:ext>
          </a:extLst>
        </xdr:cNvPr>
        <xdr:cNvSpPr txBox="1">
          <a:spLocks noChangeArrowheads="1"/>
        </xdr:cNvSpPr>
      </xdr:nvSpPr>
      <xdr:spPr bwMode="auto">
        <a:xfrm>
          <a:off x="9394337" y="6937060"/>
          <a:ext cx="374102" cy="16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39</a:t>
          </a:r>
          <a:endParaRPr lang="ja-JP" altLang="ja-JP" sz="800">
            <a:effectLst/>
            <a:latin typeface="+mn-lt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279"/>
  <sheetViews>
    <sheetView zoomScale="90" zoomScaleNormal="90" workbookViewId="0">
      <pane xSplit="1" ySplit="4" topLeftCell="H118" activePane="bottomRight" state="frozen"/>
      <selection pane="topRight" activeCell="B1" sqref="B1"/>
      <selection pane="bottomLeft" activeCell="A5" sqref="A5"/>
      <selection pane="bottomRight" activeCell="N128" sqref="N128:X128"/>
    </sheetView>
  </sheetViews>
  <sheetFormatPr defaultRowHeight="13.5" x14ac:dyDescent="0.15"/>
  <cols>
    <col min="1" max="1" width="5.25" customWidth="1"/>
    <col min="2" max="2" width="8.5" customWidth="1"/>
    <col min="3" max="3" width="7.875" customWidth="1"/>
    <col min="4" max="5" width="6.5" customWidth="1"/>
    <col min="6" max="6" width="7.125" customWidth="1"/>
    <col min="7" max="7" width="7" customWidth="1"/>
    <col min="8" max="8" width="6.25" customWidth="1"/>
    <col min="9" max="9" width="7.25" customWidth="1"/>
    <col min="10" max="11" width="7" customWidth="1"/>
    <col min="12" max="12" width="6.5" customWidth="1"/>
    <col min="13" max="13" width="7.875" customWidth="1"/>
    <col min="14" max="14" width="11.5" customWidth="1"/>
    <col min="15" max="15" width="11.125" customWidth="1"/>
    <col min="16" max="16" width="9.625" customWidth="1"/>
    <col min="17" max="17" width="10.75" customWidth="1"/>
    <col min="18" max="18" width="10.875" customWidth="1"/>
    <col min="19" max="19" width="10.125" customWidth="1"/>
    <col min="20" max="20" width="11.125" customWidth="1"/>
    <col min="21" max="22" width="10.75" customWidth="1"/>
    <col min="23" max="23" width="10.875" customWidth="1"/>
    <col min="24" max="24" width="10.125" customWidth="1"/>
    <col min="25" max="25" width="11.625" bestFit="1" customWidth="1"/>
    <col min="26" max="26" width="9.625" customWidth="1"/>
    <col min="28" max="30" width="10.75" bestFit="1" customWidth="1"/>
    <col min="32" max="34" width="10.75" bestFit="1" customWidth="1"/>
    <col min="36" max="38" width="12" bestFit="1" customWidth="1"/>
    <col min="40" max="42" width="12" bestFit="1" customWidth="1"/>
    <col min="44" max="45" width="12" bestFit="1" customWidth="1"/>
    <col min="46" max="46" width="10.75" bestFit="1" customWidth="1"/>
    <col min="48" max="49" width="12" bestFit="1" customWidth="1"/>
    <col min="50" max="50" width="10.75" bestFit="1" customWidth="1"/>
    <col min="52" max="54" width="12" bestFit="1" customWidth="1"/>
    <col min="56" max="58" width="12" bestFit="1" customWidth="1"/>
    <col min="60" max="60" width="12" bestFit="1" customWidth="1"/>
    <col min="61" max="61" width="13.125" bestFit="1" customWidth="1"/>
    <col min="62" max="62" width="12" bestFit="1" customWidth="1"/>
    <col min="64" max="64" width="12" bestFit="1" customWidth="1"/>
    <col min="65" max="65" width="13.125" bestFit="1" customWidth="1"/>
    <col min="66" max="66" width="12" bestFit="1" customWidth="1"/>
  </cols>
  <sheetData>
    <row r="3" spans="1:24" x14ac:dyDescent="0.15">
      <c r="A3" t="s">
        <v>0</v>
      </c>
      <c r="M3" t="s">
        <v>0</v>
      </c>
    </row>
    <row r="4" spans="1:24" x14ac:dyDescent="0.1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23</v>
      </c>
      <c r="L4" t="s">
        <v>33</v>
      </c>
      <c r="N4" t="s">
        <v>1</v>
      </c>
      <c r="O4" t="s">
        <v>2</v>
      </c>
      <c r="P4" t="s">
        <v>3</v>
      </c>
      <c r="Q4" t="s">
        <v>4</v>
      </c>
      <c r="R4" t="s">
        <v>5</v>
      </c>
      <c r="S4" t="s">
        <v>6</v>
      </c>
      <c r="T4" t="s">
        <v>7</v>
      </c>
      <c r="U4" t="s">
        <v>8</v>
      </c>
      <c r="V4" t="s">
        <v>9</v>
      </c>
      <c r="W4" t="s">
        <v>23</v>
      </c>
      <c r="X4" t="s">
        <v>33</v>
      </c>
    </row>
    <row r="5" spans="1:24" x14ac:dyDescent="0.15">
      <c r="A5">
        <v>62</v>
      </c>
      <c r="B5">
        <v>383773</v>
      </c>
      <c r="C5">
        <v>52149</v>
      </c>
      <c r="D5">
        <v>20219</v>
      </c>
      <c r="E5">
        <v>69741</v>
      </c>
      <c r="F5">
        <v>73426</v>
      </c>
      <c r="G5">
        <v>54074</v>
      </c>
      <c r="H5">
        <v>50348</v>
      </c>
      <c r="I5">
        <v>40499</v>
      </c>
      <c r="J5">
        <v>20464</v>
      </c>
      <c r="M5">
        <v>62</v>
      </c>
      <c r="N5" s="3"/>
      <c r="O5" s="3"/>
      <c r="P5" s="3"/>
      <c r="Q5" s="3"/>
      <c r="R5" s="3"/>
      <c r="S5" s="3"/>
    </row>
    <row r="6" spans="1:24" x14ac:dyDescent="0.15">
      <c r="A6">
        <v>63</v>
      </c>
      <c r="B6">
        <v>371878</v>
      </c>
      <c r="C6">
        <v>56039</v>
      </c>
      <c r="D6">
        <v>20851</v>
      </c>
      <c r="E6">
        <v>67624</v>
      </c>
      <c r="F6">
        <v>71262</v>
      </c>
      <c r="G6">
        <v>51170</v>
      </c>
      <c r="H6">
        <v>46951</v>
      </c>
      <c r="I6">
        <v>37621</v>
      </c>
      <c r="J6">
        <v>19203</v>
      </c>
      <c r="M6">
        <v>63</v>
      </c>
      <c r="N6" s="3"/>
      <c r="O6" s="3"/>
      <c r="P6" s="3"/>
      <c r="Q6" s="3"/>
      <c r="R6" s="3"/>
      <c r="S6" s="3"/>
    </row>
    <row r="7" spans="1:24" x14ac:dyDescent="0.15">
      <c r="A7">
        <v>64</v>
      </c>
      <c r="B7">
        <v>345470</v>
      </c>
      <c r="C7">
        <v>51679</v>
      </c>
      <c r="D7">
        <v>19409</v>
      </c>
      <c r="E7">
        <v>61139</v>
      </c>
      <c r="F7">
        <v>63701</v>
      </c>
      <c r="G7">
        <v>47660</v>
      </c>
      <c r="H7">
        <v>44482</v>
      </c>
      <c r="I7">
        <v>36781</v>
      </c>
      <c r="J7">
        <v>19841</v>
      </c>
      <c r="M7">
        <v>64</v>
      </c>
      <c r="N7" s="3"/>
      <c r="O7" s="3"/>
      <c r="P7" s="3"/>
      <c r="Q7" s="3"/>
      <c r="R7" s="3"/>
      <c r="S7" s="3"/>
    </row>
    <row r="8" spans="1:24" x14ac:dyDescent="0.15">
      <c r="A8">
        <v>65</v>
      </c>
      <c r="B8">
        <v>304556</v>
      </c>
      <c r="C8">
        <v>44180</v>
      </c>
      <c r="D8">
        <v>16367</v>
      </c>
      <c r="E8">
        <v>49871</v>
      </c>
      <c r="F8">
        <v>54139</v>
      </c>
      <c r="G8">
        <v>43527</v>
      </c>
      <c r="H8">
        <v>41204</v>
      </c>
      <c r="I8">
        <v>35424</v>
      </c>
      <c r="J8">
        <v>19552</v>
      </c>
      <c r="M8">
        <v>65</v>
      </c>
      <c r="N8" s="3"/>
      <c r="O8" s="3"/>
      <c r="P8" s="3"/>
      <c r="Q8" s="3"/>
      <c r="R8" s="3"/>
      <c r="S8" s="3"/>
    </row>
    <row r="9" spans="1:24" x14ac:dyDescent="0.15">
      <c r="A9">
        <v>66</v>
      </c>
      <c r="B9">
        <v>279833</v>
      </c>
      <c r="C9">
        <v>43331</v>
      </c>
      <c r="D9">
        <v>15106</v>
      </c>
      <c r="E9">
        <v>43378</v>
      </c>
      <c r="F9">
        <v>48458</v>
      </c>
      <c r="G9">
        <v>39579</v>
      </c>
      <c r="H9">
        <v>38017</v>
      </c>
      <c r="I9">
        <v>32652</v>
      </c>
      <c r="J9">
        <v>18943</v>
      </c>
      <c r="M9">
        <v>66</v>
      </c>
      <c r="N9" s="3"/>
      <c r="O9" s="3"/>
      <c r="P9" s="3"/>
      <c r="Q9" s="3"/>
      <c r="R9" s="3"/>
      <c r="S9" s="3"/>
    </row>
    <row r="10" spans="1:24" x14ac:dyDescent="0.15">
      <c r="A10">
        <v>67</v>
      </c>
      <c r="B10">
        <v>253781</v>
      </c>
      <c r="C10">
        <v>40356</v>
      </c>
      <c r="D10">
        <v>12879</v>
      </c>
      <c r="E10">
        <v>37747</v>
      </c>
      <c r="F10">
        <v>42487</v>
      </c>
      <c r="G10">
        <v>36294</v>
      </c>
      <c r="H10">
        <v>34171</v>
      </c>
      <c r="I10">
        <v>31128</v>
      </c>
      <c r="J10">
        <v>18529</v>
      </c>
      <c r="M10">
        <v>67</v>
      </c>
      <c r="N10" s="3"/>
      <c r="O10" s="3"/>
      <c r="P10" s="3"/>
      <c r="Q10" s="3"/>
      <c r="R10" s="3"/>
      <c r="S10" s="3"/>
    </row>
    <row r="11" spans="1:24" x14ac:dyDescent="0.15">
      <c r="A11">
        <v>68</v>
      </c>
      <c r="B11">
        <v>228216</v>
      </c>
      <c r="C11">
        <v>34400</v>
      </c>
      <c r="D11">
        <v>10030</v>
      </c>
      <c r="E11">
        <v>32844</v>
      </c>
      <c r="F11">
        <v>36506</v>
      </c>
      <c r="G11">
        <v>34119</v>
      </c>
      <c r="H11">
        <v>32091</v>
      </c>
      <c r="I11">
        <v>29616</v>
      </c>
      <c r="J11">
        <v>18468</v>
      </c>
      <c r="M11">
        <v>68</v>
      </c>
      <c r="N11" s="3"/>
      <c r="O11" s="3"/>
      <c r="P11" s="3"/>
      <c r="Q11" s="3"/>
      <c r="R11" s="3"/>
      <c r="S11" s="3"/>
    </row>
    <row r="12" spans="1:24" x14ac:dyDescent="0.15">
      <c r="A12">
        <v>69</v>
      </c>
      <c r="B12">
        <v>199870</v>
      </c>
      <c r="C12">
        <v>23701</v>
      </c>
      <c r="D12">
        <v>7582</v>
      </c>
      <c r="E12">
        <v>29537</v>
      </c>
      <c r="F12">
        <v>31604</v>
      </c>
      <c r="G12">
        <v>31525</v>
      </c>
      <c r="H12">
        <v>29258</v>
      </c>
      <c r="I12">
        <v>28562</v>
      </c>
      <c r="J12">
        <v>18025</v>
      </c>
      <c r="M12">
        <v>69</v>
      </c>
      <c r="N12" s="3"/>
      <c r="O12" s="3"/>
      <c r="P12" s="3"/>
      <c r="Q12" s="3"/>
      <c r="R12" s="3"/>
      <c r="S12" s="3"/>
    </row>
    <row r="13" spans="1:24" x14ac:dyDescent="0.15">
      <c r="A13">
        <v>70</v>
      </c>
      <c r="B13">
        <v>178940</v>
      </c>
      <c r="C13">
        <v>18197</v>
      </c>
      <c r="D13">
        <v>6004</v>
      </c>
      <c r="E13">
        <v>25895</v>
      </c>
      <c r="F13">
        <v>26856</v>
      </c>
      <c r="G13">
        <v>28881</v>
      </c>
      <c r="H13">
        <v>27249</v>
      </c>
      <c r="I13">
        <v>27799</v>
      </c>
      <c r="J13">
        <v>18007</v>
      </c>
      <c r="M13">
        <v>70</v>
      </c>
      <c r="N13" s="3"/>
      <c r="O13" s="3"/>
      <c r="P13" s="3"/>
      <c r="Q13" s="3"/>
      <c r="R13" s="3"/>
      <c r="S13" s="3"/>
    </row>
    <row r="14" spans="1:24" x14ac:dyDescent="0.15">
      <c r="A14">
        <v>71</v>
      </c>
      <c r="B14">
        <v>158164</v>
      </c>
      <c r="C14">
        <v>15533</v>
      </c>
      <c r="D14">
        <v>4943</v>
      </c>
      <c r="E14">
        <v>22946</v>
      </c>
      <c r="F14">
        <v>23499</v>
      </c>
      <c r="G14">
        <v>25773</v>
      </c>
      <c r="H14">
        <v>23582</v>
      </c>
      <c r="I14">
        <v>24563</v>
      </c>
      <c r="J14">
        <v>17373</v>
      </c>
      <c r="M14">
        <v>71</v>
      </c>
      <c r="N14" s="3"/>
      <c r="O14" s="3"/>
      <c r="P14" s="3"/>
      <c r="Q14" s="3"/>
      <c r="R14" s="3"/>
      <c r="S14" s="3"/>
    </row>
    <row r="15" spans="1:24" x14ac:dyDescent="0.15">
      <c r="A15">
        <v>72</v>
      </c>
      <c r="B15">
        <v>147941</v>
      </c>
      <c r="C15">
        <v>13179</v>
      </c>
      <c r="D15">
        <v>4356</v>
      </c>
      <c r="E15">
        <v>21112</v>
      </c>
      <c r="F15">
        <v>21132</v>
      </c>
      <c r="G15">
        <v>24137</v>
      </c>
      <c r="H15">
        <v>22024</v>
      </c>
      <c r="I15">
        <v>23235</v>
      </c>
      <c r="J15">
        <v>18729</v>
      </c>
      <c r="M15">
        <v>72</v>
      </c>
      <c r="N15" s="3"/>
      <c r="O15" s="3"/>
      <c r="P15" s="3"/>
      <c r="Q15" s="3"/>
      <c r="R15" s="3"/>
      <c r="S15" s="3"/>
    </row>
    <row r="16" spans="1:24" x14ac:dyDescent="0.15">
      <c r="A16">
        <v>73</v>
      </c>
      <c r="B16">
        <v>128800</v>
      </c>
      <c r="C16">
        <v>9558</v>
      </c>
      <c r="D16">
        <v>3552</v>
      </c>
      <c r="E16">
        <v>17746</v>
      </c>
      <c r="F16">
        <v>18018</v>
      </c>
      <c r="G16">
        <v>21174</v>
      </c>
      <c r="H16">
        <v>19580</v>
      </c>
      <c r="I16">
        <v>20644</v>
      </c>
      <c r="J16">
        <v>18455</v>
      </c>
      <c r="M16">
        <v>73</v>
      </c>
      <c r="N16" s="3"/>
      <c r="O16" s="3"/>
      <c r="P16" s="3"/>
      <c r="Q16" s="3"/>
      <c r="R16" s="3"/>
      <c r="S16" s="3"/>
    </row>
    <row r="17" spans="1:19" x14ac:dyDescent="0.15">
      <c r="A17">
        <v>74</v>
      </c>
      <c r="B17">
        <v>117368</v>
      </c>
      <c r="C17">
        <v>7079</v>
      </c>
      <c r="D17">
        <v>2973</v>
      </c>
      <c r="E17">
        <v>15516</v>
      </c>
      <c r="F17">
        <v>15752</v>
      </c>
      <c r="G17">
        <v>19254</v>
      </c>
      <c r="H17">
        <v>18675</v>
      </c>
      <c r="I17">
        <v>20591</v>
      </c>
      <c r="J17">
        <v>17515</v>
      </c>
      <c r="M17">
        <v>74</v>
      </c>
      <c r="N17" s="3"/>
      <c r="O17" s="3"/>
      <c r="P17" s="3"/>
      <c r="Q17" s="3"/>
      <c r="R17" s="3"/>
      <c r="S17" s="3"/>
    </row>
    <row r="18" spans="1:19" x14ac:dyDescent="0.15">
      <c r="A18">
        <v>75</v>
      </c>
      <c r="B18">
        <v>108088</v>
      </c>
      <c r="C18">
        <v>4905</v>
      </c>
      <c r="D18">
        <v>2590</v>
      </c>
      <c r="E18">
        <v>14011</v>
      </c>
      <c r="F18">
        <v>13877</v>
      </c>
      <c r="G18">
        <v>17944</v>
      </c>
      <c r="H18">
        <v>18345</v>
      </c>
      <c r="I18">
        <v>19572</v>
      </c>
      <c r="J18">
        <v>16836</v>
      </c>
      <c r="M18">
        <v>75</v>
      </c>
      <c r="N18" s="3"/>
      <c r="O18" s="3"/>
      <c r="P18" s="3"/>
      <c r="Q18" s="3"/>
      <c r="R18" s="3"/>
      <c r="S18" s="3"/>
    </row>
    <row r="19" spans="1:19" x14ac:dyDescent="0.15">
      <c r="A19">
        <v>76</v>
      </c>
      <c r="B19">
        <v>97924</v>
      </c>
      <c r="C19">
        <v>3979</v>
      </c>
      <c r="D19">
        <v>2389</v>
      </c>
      <c r="E19">
        <v>12386</v>
      </c>
      <c r="F19">
        <v>12455</v>
      </c>
      <c r="G19">
        <v>16330</v>
      </c>
      <c r="H19">
        <v>16617</v>
      </c>
      <c r="I19">
        <v>17972</v>
      </c>
      <c r="J19">
        <v>15790</v>
      </c>
      <c r="M19">
        <v>76</v>
      </c>
      <c r="N19" s="3"/>
      <c r="O19" s="3"/>
      <c r="P19" s="3"/>
      <c r="Q19" s="3"/>
      <c r="R19" s="3"/>
      <c r="S19" s="3"/>
    </row>
    <row r="20" spans="1:19" x14ac:dyDescent="0.15">
      <c r="A20">
        <v>77</v>
      </c>
      <c r="B20">
        <v>89245</v>
      </c>
      <c r="C20">
        <v>3130</v>
      </c>
      <c r="D20">
        <v>2034</v>
      </c>
      <c r="E20">
        <v>10354</v>
      </c>
      <c r="F20">
        <v>11062</v>
      </c>
      <c r="G20">
        <v>14634</v>
      </c>
      <c r="H20">
        <v>15946</v>
      </c>
      <c r="I20">
        <v>16785</v>
      </c>
      <c r="J20">
        <v>15298</v>
      </c>
      <c r="M20">
        <v>77</v>
      </c>
      <c r="N20" s="3"/>
      <c r="O20" s="3"/>
      <c r="P20" s="3"/>
      <c r="Q20" s="3"/>
      <c r="R20" s="3"/>
      <c r="S20" s="3"/>
    </row>
    <row r="21" spans="1:19" x14ac:dyDescent="0.15">
      <c r="A21">
        <v>78</v>
      </c>
      <c r="B21">
        <v>80629</v>
      </c>
      <c r="C21">
        <v>2590</v>
      </c>
      <c r="D21">
        <v>1728</v>
      </c>
      <c r="E21">
        <v>8577</v>
      </c>
      <c r="F21">
        <v>9885</v>
      </c>
      <c r="G21">
        <v>12722</v>
      </c>
      <c r="H21">
        <v>14778</v>
      </c>
      <c r="I21">
        <v>15456</v>
      </c>
      <c r="J21">
        <v>14890</v>
      </c>
      <c r="M21">
        <v>78</v>
      </c>
      <c r="N21" s="3"/>
      <c r="O21" s="3"/>
      <c r="P21" s="3"/>
      <c r="Q21" s="3"/>
      <c r="R21" s="3"/>
      <c r="S21" s="3"/>
    </row>
    <row r="22" spans="1:19" x14ac:dyDescent="0.15">
      <c r="A22">
        <v>79</v>
      </c>
      <c r="B22">
        <v>76455</v>
      </c>
      <c r="C22">
        <v>2354</v>
      </c>
      <c r="D22">
        <v>1619</v>
      </c>
      <c r="E22">
        <v>7295</v>
      </c>
      <c r="F22">
        <v>9576</v>
      </c>
      <c r="G22">
        <v>11532</v>
      </c>
      <c r="H22">
        <v>14534</v>
      </c>
      <c r="I22">
        <v>14653</v>
      </c>
      <c r="J22">
        <v>14890</v>
      </c>
      <c r="M22">
        <v>79</v>
      </c>
      <c r="N22" s="3"/>
      <c r="O22" s="3"/>
      <c r="P22" s="3"/>
      <c r="Q22" s="3"/>
      <c r="R22" s="3"/>
      <c r="S22" s="3"/>
    </row>
    <row r="23" spans="1:19" x14ac:dyDescent="0.15">
      <c r="A23">
        <v>80</v>
      </c>
      <c r="B23">
        <v>70916</v>
      </c>
      <c r="C23">
        <v>1893</v>
      </c>
      <c r="D23">
        <v>1523</v>
      </c>
      <c r="E23">
        <v>6407</v>
      </c>
      <c r="F23">
        <v>8971</v>
      </c>
      <c r="G23">
        <v>10345</v>
      </c>
      <c r="H23">
        <v>13755</v>
      </c>
      <c r="I23">
        <v>13530</v>
      </c>
      <c r="J23">
        <v>14489</v>
      </c>
      <c r="M23">
        <v>80</v>
      </c>
      <c r="N23" s="3"/>
      <c r="O23" s="3"/>
      <c r="P23" s="3"/>
    </row>
    <row r="24" spans="1:19" x14ac:dyDescent="0.15">
      <c r="A24">
        <v>81</v>
      </c>
      <c r="B24">
        <v>65867</v>
      </c>
      <c r="C24">
        <v>1682</v>
      </c>
      <c r="D24">
        <v>1324</v>
      </c>
      <c r="E24">
        <v>5596</v>
      </c>
      <c r="F24">
        <v>7780</v>
      </c>
      <c r="G24">
        <v>9576</v>
      </c>
      <c r="H24">
        <v>13215</v>
      </c>
      <c r="I24">
        <v>12601</v>
      </c>
      <c r="J24">
        <v>14091</v>
      </c>
      <c r="M24">
        <v>81</v>
      </c>
      <c r="N24" s="3"/>
      <c r="O24" s="3"/>
      <c r="P24" s="3"/>
      <c r="Q24" s="3"/>
      <c r="R24" s="3"/>
      <c r="S24" s="3"/>
    </row>
    <row r="25" spans="1:19" x14ac:dyDescent="0.15">
      <c r="A25">
        <v>82</v>
      </c>
      <c r="B25">
        <v>63940</v>
      </c>
      <c r="C25">
        <v>1461</v>
      </c>
      <c r="D25">
        <v>1149</v>
      </c>
      <c r="E25">
        <v>5059</v>
      </c>
      <c r="F25">
        <v>7204</v>
      </c>
      <c r="G25">
        <v>8932</v>
      </c>
      <c r="H25">
        <v>12940</v>
      </c>
      <c r="I25">
        <v>12646</v>
      </c>
      <c r="J25">
        <v>14546</v>
      </c>
      <c r="M25">
        <v>82</v>
      </c>
      <c r="N25" s="3"/>
      <c r="O25" s="3"/>
      <c r="P25" s="3"/>
      <c r="Q25" s="3"/>
      <c r="R25" s="3"/>
      <c r="S25" s="3"/>
    </row>
    <row r="26" spans="1:19" x14ac:dyDescent="0.15">
      <c r="A26">
        <v>83</v>
      </c>
      <c r="B26">
        <v>62021</v>
      </c>
      <c r="C26">
        <v>1244</v>
      </c>
      <c r="D26">
        <v>1286</v>
      </c>
      <c r="E26">
        <v>4837</v>
      </c>
      <c r="F26">
        <v>6750</v>
      </c>
      <c r="G26">
        <v>8323</v>
      </c>
      <c r="H26">
        <v>12500</v>
      </c>
      <c r="I26">
        <v>12209</v>
      </c>
      <c r="J26">
        <v>14872</v>
      </c>
      <c r="M26">
        <v>83</v>
      </c>
      <c r="N26" s="3"/>
      <c r="O26" s="3"/>
      <c r="P26" s="3"/>
      <c r="Q26" s="3"/>
      <c r="R26" s="3"/>
      <c r="S26" s="3"/>
    </row>
    <row r="27" spans="1:19" x14ac:dyDescent="0.15">
      <c r="A27">
        <v>84</v>
      </c>
      <c r="B27">
        <v>61521</v>
      </c>
      <c r="C27">
        <v>1223</v>
      </c>
      <c r="D27">
        <v>1322</v>
      </c>
      <c r="E27">
        <v>4758</v>
      </c>
      <c r="F27">
        <v>6530</v>
      </c>
      <c r="G27">
        <v>8198</v>
      </c>
      <c r="H27">
        <v>12513</v>
      </c>
      <c r="I27">
        <v>12122</v>
      </c>
      <c r="J27">
        <v>14854</v>
      </c>
      <c r="M27">
        <v>84</v>
      </c>
      <c r="N27" s="3"/>
      <c r="O27" s="3"/>
      <c r="P27" s="3"/>
      <c r="Q27" s="3"/>
      <c r="R27" s="3"/>
      <c r="S27" s="3"/>
    </row>
    <row r="28" spans="1:19" x14ac:dyDescent="0.15">
      <c r="A28">
        <v>85</v>
      </c>
      <c r="B28">
        <v>58567</v>
      </c>
      <c r="C28">
        <v>1088</v>
      </c>
      <c r="D28">
        <v>1131</v>
      </c>
      <c r="E28">
        <v>4509</v>
      </c>
      <c r="F28">
        <v>5934</v>
      </c>
      <c r="G28">
        <v>7401</v>
      </c>
      <c r="H28">
        <v>11667</v>
      </c>
      <c r="I28">
        <v>11750</v>
      </c>
      <c r="J28">
        <v>15087</v>
      </c>
      <c r="M28">
        <v>85</v>
      </c>
      <c r="N28" s="3"/>
      <c r="O28" s="3"/>
      <c r="P28" s="3"/>
      <c r="Q28" s="3"/>
      <c r="R28" s="3"/>
      <c r="S28" s="3"/>
    </row>
    <row r="29" spans="1:19" x14ac:dyDescent="0.15">
      <c r="A29">
        <v>86</v>
      </c>
      <c r="B29">
        <v>56690</v>
      </c>
      <c r="C29">
        <v>860</v>
      </c>
      <c r="D29">
        <v>1067</v>
      </c>
      <c r="E29">
        <v>4186</v>
      </c>
      <c r="F29">
        <v>5704</v>
      </c>
      <c r="G29">
        <v>6918</v>
      </c>
      <c r="H29">
        <v>11019</v>
      </c>
      <c r="I29">
        <v>11784</v>
      </c>
      <c r="J29">
        <v>15151</v>
      </c>
      <c r="M29">
        <v>86</v>
      </c>
      <c r="N29" s="3"/>
      <c r="O29" s="3"/>
      <c r="P29" s="3"/>
      <c r="Q29" s="3"/>
      <c r="R29" s="3"/>
      <c r="S29" s="3"/>
    </row>
    <row r="30" spans="1:19" x14ac:dyDescent="0.15">
      <c r="A30">
        <v>87</v>
      </c>
      <c r="B30">
        <v>56496</v>
      </c>
      <c r="C30">
        <v>724</v>
      </c>
      <c r="D30">
        <v>1305</v>
      </c>
      <c r="E30">
        <v>4393</v>
      </c>
      <c r="F30">
        <v>5563</v>
      </c>
      <c r="G30">
        <v>6770</v>
      </c>
      <c r="H30">
        <v>10879</v>
      </c>
      <c r="I30">
        <v>11603</v>
      </c>
      <c r="J30">
        <f>5831+4954</f>
        <v>10785</v>
      </c>
      <c r="K30">
        <f>2979+1493</f>
        <v>4472</v>
      </c>
      <c r="M30">
        <v>87</v>
      </c>
      <c r="N30" s="3"/>
      <c r="O30" s="3"/>
      <c r="P30" s="3"/>
      <c r="Q30" s="3"/>
      <c r="R30" s="3"/>
      <c r="S30" s="3"/>
    </row>
    <row r="31" spans="1:19" x14ac:dyDescent="0.15">
      <c r="A31">
        <v>88</v>
      </c>
      <c r="B31">
        <v>54357</v>
      </c>
      <c r="C31">
        <v>677</v>
      </c>
      <c r="D31">
        <v>1098</v>
      </c>
      <c r="E31">
        <v>4416</v>
      </c>
      <c r="F31">
        <v>4947</v>
      </c>
      <c r="G31">
        <v>6616</v>
      </c>
      <c r="H31">
        <v>10024</v>
      </c>
      <c r="I31">
        <v>11502</v>
      </c>
      <c r="J31">
        <f>5445+4937</f>
        <v>10382</v>
      </c>
      <c r="K31">
        <f>2984+1711</f>
        <v>4695</v>
      </c>
      <c r="M31">
        <v>88</v>
      </c>
      <c r="N31" s="3"/>
      <c r="O31" s="3"/>
      <c r="P31" s="3"/>
      <c r="Q31" s="3"/>
      <c r="R31" s="3"/>
      <c r="S31" s="3"/>
    </row>
    <row r="32" spans="1:19" x14ac:dyDescent="0.15">
      <c r="A32">
        <v>89</v>
      </c>
      <c r="B32">
        <v>53112</v>
      </c>
      <c r="C32">
        <v>602</v>
      </c>
      <c r="D32">
        <v>1044</v>
      </c>
      <c r="E32">
        <v>4334</v>
      </c>
      <c r="F32">
        <v>4592</v>
      </c>
      <c r="G32">
        <v>6751</v>
      </c>
      <c r="H32">
        <v>9396</v>
      </c>
      <c r="I32">
        <v>11523</v>
      </c>
      <c r="J32">
        <f>5241+4934</f>
        <v>10175</v>
      </c>
      <c r="K32">
        <f>3037+1658</f>
        <v>4695</v>
      </c>
      <c r="M32">
        <v>89</v>
      </c>
      <c r="N32" s="3"/>
      <c r="O32" s="3"/>
      <c r="P32" s="3"/>
      <c r="Q32" s="3"/>
      <c r="R32" s="3"/>
      <c r="S32" s="3"/>
    </row>
    <row r="33" spans="1:28" x14ac:dyDescent="0.15">
      <c r="A33">
        <v>90</v>
      </c>
      <c r="B33">
        <v>51821</v>
      </c>
      <c r="C33">
        <v>518</v>
      </c>
      <c r="D33">
        <v>993</v>
      </c>
      <c r="E33">
        <v>4291</v>
      </c>
      <c r="F33">
        <v>4114</v>
      </c>
      <c r="G33">
        <v>6449</v>
      </c>
      <c r="H33">
        <v>8943</v>
      </c>
      <c r="I33">
        <v>11385</v>
      </c>
      <c r="J33">
        <f>5227+4945</f>
        <v>10172</v>
      </c>
      <c r="K33">
        <f>3265+1691</f>
        <v>4956</v>
      </c>
      <c r="M33">
        <v>90</v>
      </c>
      <c r="N33" s="3"/>
      <c r="O33" s="3"/>
      <c r="P33" s="3"/>
      <c r="Q33" s="3"/>
      <c r="R33" s="3"/>
      <c r="S33" s="3"/>
    </row>
    <row r="34" spans="1:28" x14ac:dyDescent="0.15">
      <c r="A34">
        <v>91</v>
      </c>
      <c r="B34">
        <v>50612</v>
      </c>
      <c r="C34">
        <v>455</v>
      </c>
      <c r="D34">
        <v>955</v>
      </c>
      <c r="E34">
        <v>4368</v>
      </c>
      <c r="F34">
        <v>3803</v>
      </c>
      <c r="G34">
        <v>6312</v>
      </c>
      <c r="H34">
        <v>8450</v>
      </c>
      <c r="I34">
        <v>11330</v>
      </c>
      <c r="J34">
        <f>5053+4895</f>
        <v>9948</v>
      </c>
      <c r="K34">
        <f>3231+1760</f>
        <v>4991</v>
      </c>
      <c r="M34">
        <v>91</v>
      </c>
      <c r="N34" s="3"/>
      <c r="O34" s="3"/>
      <c r="P34" s="3"/>
      <c r="Q34" s="3"/>
      <c r="R34" s="3"/>
      <c r="S34" s="3"/>
    </row>
    <row r="35" spans="1:28" x14ac:dyDescent="0.15">
      <c r="A35">
        <v>92</v>
      </c>
      <c r="B35">
        <v>48956</v>
      </c>
      <c r="C35">
        <v>446</v>
      </c>
      <c r="D35">
        <v>863</v>
      </c>
      <c r="E35">
        <v>4258</v>
      </c>
      <c r="F35">
        <v>3637</v>
      </c>
      <c r="G35">
        <v>6060</v>
      </c>
      <c r="H35">
        <v>8087</v>
      </c>
      <c r="I35">
        <v>10934</v>
      </c>
      <c r="J35">
        <f>4868+4577</f>
        <v>9445</v>
      </c>
      <c r="K35">
        <f>3412+1814</f>
        <v>5226</v>
      </c>
      <c r="M35">
        <v>92</v>
      </c>
      <c r="N35" s="3"/>
      <c r="O35" s="3"/>
      <c r="P35" s="3"/>
      <c r="Q35" s="3"/>
      <c r="R35" s="3"/>
      <c r="S35" s="3"/>
    </row>
    <row r="36" spans="1:28" x14ac:dyDescent="0.15">
      <c r="A36">
        <v>93</v>
      </c>
      <c r="B36">
        <v>47437</v>
      </c>
      <c r="C36">
        <v>434</v>
      </c>
      <c r="D36">
        <v>771</v>
      </c>
      <c r="E36">
        <v>4317</v>
      </c>
      <c r="F36">
        <v>3438</v>
      </c>
      <c r="G36">
        <v>5574</v>
      </c>
      <c r="H36">
        <v>7703</v>
      </c>
      <c r="I36">
        <v>10714</v>
      </c>
      <c r="J36">
        <f>4828+4480</f>
        <v>9308</v>
      </c>
      <c r="K36">
        <f>3237+1941</f>
        <v>5178</v>
      </c>
      <c r="M36">
        <v>93</v>
      </c>
      <c r="N36" s="3"/>
      <c r="O36" s="3"/>
      <c r="P36" s="3"/>
      <c r="Q36" s="3"/>
      <c r="R36" s="3"/>
      <c r="S36" s="3"/>
    </row>
    <row r="37" spans="1:28" x14ac:dyDescent="0.15">
      <c r="A37">
        <v>94</v>
      </c>
      <c r="B37">
        <v>44590</v>
      </c>
      <c r="C37">
        <v>377</v>
      </c>
      <c r="D37">
        <v>646</v>
      </c>
      <c r="E37">
        <v>3830</v>
      </c>
      <c r="F37">
        <v>3259</v>
      </c>
      <c r="G37">
        <v>5163</v>
      </c>
      <c r="H37">
        <v>7325</v>
      </c>
      <c r="I37">
        <v>10097</v>
      </c>
      <c r="J37">
        <f>4785+4030</f>
        <v>8815</v>
      </c>
      <c r="K37">
        <f>3190+1888</f>
        <v>5078</v>
      </c>
      <c r="M37">
        <v>94</v>
      </c>
      <c r="N37" s="3"/>
      <c r="O37" s="3"/>
      <c r="P37" s="3"/>
      <c r="Q37" s="3"/>
      <c r="R37" s="3"/>
      <c r="S37" s="3"/>
    </row>
    <row r="38" spans="1:28" x14ac:dyDescent="0.15">
      <c r="A38">
        <v>95</v>
      </c>
      <c r="B38">
        <v>43078</v>
      </c>
      <c r="C38">
        <v>340</v>
      </c>
      <c r="D38">
        <v>603</v>
      </c>
      <c r="E38">
        <v>3838</v>
      </c>
      <c r="F38">
        <v>3207</v>
      </c>
      <c r="G38">
        <v>5083</v>
      </c>
      <c r="H38">
        <v>7029</v>
      </c>
      <c r="I38">
        <v>9304</v>
      </c>
      <c r="J38">
        <f>4667+3984</f>
        <v>8651</v>
      </c>
      <c r="K38">
        <f>3148+1875</f>
        <v>5023</v>
      </c>
      <c r="M38">
        <v>95</v>
      </c>
      <c r="N38" s="3"/>
      <c r="O38" s="3"/>
      <c r="P38" s="3"/>
      <c r="Q38" s="3"/>
      <c r="R38" s="3"/>
      <c r="S38" s="3"/>
    </row>
    <row r="39" spans="1:28" x14ac:dyDescent="0.15">
      <c r="A39">
        <v>96</v>
      </c>
      <c r="B39">
        <v>42472</v>
      </c>
      <c r="C39">
        <v>301</v>
      </c>
      <c r="D39">
        <v>557</v>
      </c>
      <c r="E39">
        <v>3862</v>
      </c>
      <c r="F39">
        <v>3263</v>
      </c>
      <c r="G39">
        <v>5235</v>
      </c>
      <c r="H39">
        <v>6678</v>
      </c>
      <c r="I39">
        <v>9093</v>
      </c>
      <c r="J39">
        <f>4614+3858</f>
        <v>8472</v>
      </c>
      <c r="K39">
        <f>3093+1918</f>
        <v>5011</v>
      </c>
      <c r="M39">
        <v>96</v>
      </c>
      <c r="N39" s="3"/>
      <c r="O39" s="3"/>
      <c r="P39" s="3"/>
      <c r="Q39" s="3"/>
      <c r="R39" s="3"/>
      <c r="S39" s="3"/>
    </row>
    <row r="40" spans="1:28" x14ac:dyDescent="0.15">
      <c r="A40">
        <v>97</v>
      </c>
      <c r="B40">
        <v>42715</v>
      </c>
      <c r="C40">
        <v>285</v>
      </c>
      <c r="D40">
        <v>515</v>
      </c>
      <c r="E40">
        <v>3855</v>
      </c>
      <c r="F40">
        <v>3202</v>
      </c>
      <c r="G40">
        <v>4765</v>
      </c>
      <c r="H40">
        <v>6568</v>
      </c>
      <c r="I40">
        <v>8821</v>
      </c>
      <c r="J40">
        <f>4845+4195</f>
        <v>9040</v>
      </c>
      <c r="K40">
        <f>3280+2384</f>
        <v>5664</v>
      </c>
      <c r="M40">
        <v>97</v>
      </c>
      <c r="N40" s="3"/>
      <c r="O40" s="3"/>
      <c r="P40" s="3"/>
      <c r="Q40" s="3"/>
      <c r="R40" s="3"/>
      <c r="S40" s="3"/>
      <c r="AB40">
        <v>59</v>
      </c>
    </row>
    <row r="41" spans="1:28" x14ac:dyDescent="0.15">
      <c r="A41">
        <v>98</v>
      </c>
      <c r="B41" s="7">
        <v>44016</v>
      </c>
      <c r="C41" s="7">
        <v>275</v>
      </c>
      <c r="D41" s="7">
        <v>510</v>
      </c>
      <c r="E41" s="7">
        <v>3964</v>
      </c>
      <c r="F41" s="7">
        <v>3230</v>
      </c>
      <c r="G41" s="7">
        <v>4506</v>
      </c>
      <c r="H41" s="7">
        <v>6755</v>
      </c>
      <c r="I41" s="7">
        <v>8926</v>
      </c>
      <c r="J41" s="7">
        <f>4696+3945</f>
        <v>8641</v>
      </c>
      <c r="K41" s="7">
        <f>3197+2528</f>
        <v>5725</v>
      </c>
      <c r="M41">
        <v>98</v>
      </c>
      <c r="N41">
        <v>41033</v>
      </c>
      <c r="O41">
        <v>274</v>
      </c>
      <c r="P41">
        <v>505</v>
      </c>
      <c r="Q41">
        <v>3928</v>
      </c>
      <c r="R41">
        <v>3165</v>
      </c>
      <c r="S41">
        <v>4272</v>
      </c>
      <c r="T41">
        <v>6318</v>
      </c>
      <c r="U41">
        <v>8205</v>
      </c>
      <c r="V41">
        <f>4696+3945</f>
        <v>8641</v>
      </c>
      <c r="W41">
        <v>5725</v>
      </c>
    </row>
    <row r="42" spans="1:28" x14ac:dyDescent="0.15">
      <c r="A42">
        <v>99</v>
      </c>
      <c r="M42">
        <v>99</v>
      </c>
      <c r="N42">
        <v>43818</v>
      </c>
      <c r="O42">
        <v>280</v>
      </c>
      <c r="P42">
        <v>536</v>
      </c>
      <c r="Q42">
        <v>4004</v>
      </c>
      <c r="R42">
        <v>3420</v>
      </c>
      <c r="S42">
        <v>4217</v>
      </c>
      <c r="T42">
        <v>6674</v>
      </c>
      <c r="U42">
        <v>8116</v>
      </c>
      <c r="V42">
        <f>5178+4699</f>
        <v>9877</v>
      </c>
      <c r="W42">
        <f>3548+3146</f>
        <v>6694</v>
      </c>
    </row>
    <row r="43" spans="1:28" x14ac:dyDescent="0.15">
      <c r="A43">
        <v>2000</v>
      </c>
      <c r="M43">
        <v>2000</v>
      </c>
      <c r="N43">
        <v>39384</v>
      </c>
      <c r="O43">
        <v>220</v>
      </c>
      <c r="P43">
        <v>429</v>
      </c>
      <c r="Q43">
        <v>3574</v>
      </c>
      <c r="R43">
        <v>3278</v>
      </c>
      <c r="S43">
        <v>3624</v>
      </c>
      <c r="T43">
        <v>6051</v>
      </c>
      <c r="U43">
        <v>6953</v>
      </c>
      <c r="V43">
        <f>4613+4232</f>
        <v>8845</v>
      </c>
      <c r="W43">
        <f>3262+3148</f>
        <v>6410</v>
      </c>
    </row>
    <row r="44" spans="1:28" x14ac:dyDescent="0.15">
      <c r="A44">
        <v>2001</v>
      </c>
      <c r="M44">
        <v>2001</v>
      </c>
      <c r="N44">
        <v>35489</v>
      </c>
      <c r="O44">
        <v>195</v>
      </c>
      <c r="P44">
        <v>421</v>
      </c>
      <c r="Q44">
        <v>3157</v>
      </c>
      <c r="R44">
        <v>3041</v>
      </c>
      <c r="S44">
        <v>3012</v>
      </c>
      <c r="T44">
        <v>5383</v>
      </c>
      <c r="U44">
        <v>6218</v>
      </c>
      <c r="V44">
        <v>7901</v>
      </c>
      <c r="W44">
        <v>6161</v>
      </c>
    </row>
    <row r="45" spans="1:28" x14ac:dyDescent="0.15">
      <c r="A45">
        <v>2002</v>
      </c>
      <c r="M45">
        <v>2002</v>
      </c>
      <c r="N45">
        <v>32828</v>
      </c>
      <c r="O45">
        <f>80+34+41</f>
        <v>155</v>
      </c>
      <c r="P45">
        <v>335</v>
      </c>
      <c r="Q45">
        <v>2883</v>
      </c>
      <c r="R45">
        <v>2843</v>
      </c>
      <c r="S45">
        <v>2683</v>
      </c>
      <c r="T45">
        <v>4767</v>
      </c>
      <c r="U45">
        <v>5540</v>
      </c>
      <c r="V45">
        <v>7630</v>
      </c>
      <c r="W45">
        <v>5991</v>
      </c>
    </row>
    <row r="46" spans="1:28" x14ac:dyDescent="0.15">
      <c r="A46">
        <v>2003</v>
      </c>
      <c r="M46" s="27">
        <v>2003</v>
      </c>
      <c r="N46">
        <v>31638</v>
      </c>
      <c r="O46">
        <f>72+24+31</f>
        <v>127</v>
      </c>
      <c r="P46">
        <v>306</v>
      </c>
      <c r="Q46">
        <v>2798</v>
      </c>
      <c r="R46">
        <v>2803</v>
      </c>
      <c r="S46">
        <v>2457</v>
      </c>
      <c r="T46">
        <v>4428</v>
      </c>
      <c r="U46">
        <v>5133</v>
      </c>
      <c r="V46">
        <v>7293</v>
      </c>
      <c r="W46">
        <f>3136+2088</f>
        <v>5224</v>
      </c>
      <c r="X46">
        <v>1069</v>
      </c>
    </row>
    <row r="47" spans="1:28" x14ac:dyDescent="0.15">
      <c r="A47">
        <v>2004</v>
      </c>
      <c r="M47" s="27">
        <v>2004</v>
      </c>
      <c r="N47">
        <v>29736</v>
      </c>
      <c r="O47">
        <v>117</v>
      </c>
      <c r="P47">
        <v>302</v>
      </c>
      <c r="Q47">
        <v>2528</v>
      </c>
      <c r="R47">
        <v>2738</v>
      </c>
      <c r="S47">
        <v>2346</v>
      </c>
      <c r="T47">
        <v>3991</v>
      </c>
      <c r="U47">
        <v>4656</v>
      </c>
      <c r="V47">
        <v>6833</v>
      </c>
      <c r="W47">
        <f>3074+2035</f>
        <v>5109</v>
      </c>
      <c r="X47">
        <v>1116</v>
      </c>
    </row>
    <row r="48" spans="1:28" x14ac:dyDescent="0.15">
      <c r="A48">
        <v>2005</v>
      </c>
      <c r="M48" s="27">
        <v>2005</v>
      </c>
      <c r="N48">
        <v>28319</v>
      </c>
      <c r="O48">
        <f>56+22+39</f>
        <v>117</v>
      </c>
      <c r="P48">
        <v>284</v>
      </c>
      <c r="Q48">
        <v>2303</v>
      </c>
      <c r="R48">
        <v>2677</v>
      </c>
      <c r="S48">
        <v>2220</v>
      </c>
      <c r="T48">
        <v>3676</v>
      </c>
      <c r="U48">
        <v>4328</v>
      </c>
      <c r="V48">
        <v>6332</v>
      </c>
      <c r="W48">
        <f>3206+2051</f>
        <v>5257</v>
      </c>
      <c r="X48">
        <v>1125</v>
      </c>
    </row>
    <row r="49" spans="1:24" x14ac:dyDescent="0.15">
      <c r="A49">
        <v>2006</v>
      </c>
      <c r="M49" s="27">
        <v>2006</v>
      </c>
      <c r="N49">
        <v>26384</v>
      </c>
      <c r="O49">
        <f>35+18+32</f>
        <v>85</v>
      </c>
      <c r="P49">
        <v>214</v>
      </c>
      <c r="Q49">
        <v>2069</v>
      </c>
      <c r="R49">
        <v>2417</v>
      </c>
      <c r="S49">
        <v>2037</v>
      </c>
      <c r="T49">
        <v>3336</v>
      </c>
      <c r="U49">
        <v>3837</v>
      </c>
      <c r="V49">
        <v>6109</v>
      </c>
      <c r="W49">
        <f>3090+2060</f>
        <v>5150</v>
      </c>
      <c r="X49">
        <v>1130</v>
      </c>
    </row>
    <row r="50" spans="1:24" x14ac:dyDescent="0.15">
      <c r="A50">
        <v>2007</v>
      </c>
      <c r="M50" s="27">
        <v>2007</v>
      </c>
      <c r="N50">
        <v>25311</v>
      </c>
      <c r="O50">
        <f>47+19+26</f>
        <v>92</v>
      </c>
      <c r="P50">
        <v>201</v>
      </c>
      <c r="Q50">
        <f>809+1115</f>
        <v>1924</v>
      </c>
      <c r="R50">
        <f>1170+1138</f>
        <v>2308</v>
      </c>
      <c r="S50">
        <f>979+956</f>
        <v>1935</v>
      </c>
      <c r="T50">
        <f>1118+1917</f>
        <v>3035</v>
      </c>
      <c r="U50">
        <f>1727+1967</f>
        <v>3694</v>
      </c>
      <c r="V50">
        <f>2523+3136</f>
        <v>5659</v>
      </c>
      <c r="W50">
        <f>3282+2060</f>
        <v>5342</v>
      </c>
      <c r="X50">
        <v>1121</v>
      </c>
    </row>
    <row r="51" spans="1:24" x14ac:dyDescent="0.15">
      <c r="A51">
        <v>2008</v>
      </c>
      <c r="M51" s="51">
        <v>2008</v>
      </c>
      <c r="N51">
        <v>24760</v>
      </c>
      <c r="O51">
        <f>41+23+31</f>
        <v>95</v>
      </c>
      <c r="P51">
        <v>191</v>
      </c>
      <c r="Q51">
        <v>1823</v>
      </c>
      <c r="R51">
        <v>2152</v>
      </c>
      <c r="S51">
        <v>1917</v>
      </c>
      <c r="T51">
        <v>2784</v>
      </c>
      <c r="U51">
        <v>3689</v>
      </c>
      <c r="V51">
        <v>5524</v>
      </c>
      <c r="W51">
        <v>5435</v>
      </c>
      <c r="X51">
        <v>1150</v>
      </c>
    </row>
    <row r="52" spans="1:24" x14ac:dyDescent="0.15">
      <c r="A52">
        <v>2009</v>
      </c>
      <c r="M52" s="51">
        <v>2009</v>
      </c>
      <c r="N52">
        <v>24170</v>
      </c>
      <c r="O52">
        <v>73</v>
      </c>
      <c r="P52">
        <v>204</v>
      </c>
      <c r="Q52">
        <v>1699</v>
      </c>
      <c r="R52">
        <v>2100</v>
      </c>
      <c r="S52">
        <v>1847</v>
      </c>
      <c r="T52">
        <v>2476</v>
      </c>
      <c r="U52">
        <v>3650</v>
      </c>
      <c r="V52">
        <v>5148</v>
      </c>
      <c r="W52">
        <v>5700</v>
      </c>
      <c r="X52">
        <v>1273</v>
      </c>
    </row>
    <row r="53" spans="1:24" x14ac:dyDescent="0.15">
      <c r="A53">
        <v>2010</v>
      </c>
      <c r="M53" s="51">
        <v>2010</v>
      </c>
      <c r="N53">
        <v>23261</v>
      </c>
      <c r="O53">
        <f>30+26+33</f>
        <v>89</v>
      </c>
      <c r="P53">
        <v>251</v>
      </c>
      <c r="Q53">
        <f>670+866</f>
        <v>1536</v>
      </c>
      <c r="R53">
        <f>918+1003</f>
        <v>1921</v>
      </c>
      <c r="S53">
        <f>903+861</f>
        <v>1764</v>
      </c>
      <c r="T53">
        <f>907+1264</f>
        <v>2171</v>
      </c>
      <c r="U53">
        <f>1784+1826</f>
        <v>3610</v>
      </c>
      <c r="V53">
        <f>2092+2908</f>
        <v>5000</v>
      </c>
      <c r="W53">
        <f>3194+2429</f>
        <v>5623</v>
      </c>
      <c r="X53">
        <v>1296</v>
      </c>
    </row>
    <row r="54" spans="1:24" x14ac:dyDescent="0.15">
      <c r="A54">
        <v>2011</v>
      </c>
      <c r="M54" s="51">
        <v>2011</v>
      </c>
      <c r="N54">
        <v>22681</v>
      </c>
      <c r="O54">
        <v>84</v>
      </c>
      <c r="P54">
        <v>157</v>
      </c>
      <c r="Q54">
        <v>1417</v>
      </c>
      <c r="R54">
        <v>1718</v>
      </c>
      <c r="S54">
        <v>1820</v>
      </c>
      <c r="T54">
        <v>2049</v>
      </c>
      <c r="U54">
        <v>3232</v>
      </c>
      <c r="V54">
        <v>4875</v>
      </c>
      <c r="W54">
        <v>5897</v>
      </c>
      <c r="X54">
        <v>1432</v>
      </c>
    </row>
    <row r="55" spans="1:24" x14ac:dyDescent="0.15">
      <c r="M55" s="51">
        <v>2012</v>
      </c>
      <c r="N55">
        <v>21283</v>
      </c>
      <c r="O55">
        <v>63</v>
      </c>
      <c r="P55">
        <v>165</v>
      </c>
      <c r="Q55">
        <v>1288</v>
      </c>
      <c r="R55">
        <v>1528</v>
      </c>
      <c r="S55">
        <v>1600</v>
      </c>
      <c r="T55">
        <v>1795</v>
      </c>
      <c r="U55">
        <v>3012</v>
      </c>
      <c r="V55">
        <v>4595</v>
      </c>
      <c r="W55">
        <v>5753</v>
      </c>
      <c r="X55">
        <v>1484</v>
      </c>
    </row>
    <row r="56" spans="1:24" x14ac:dyDescent="0.15">
      <c r="M56" s="51">
        <v>2013</v>
      </c>
      <c r="N56">
        <v>20495</v>
      </c>
      <c r="O56">
        <v>66</v>
      </c>
      <c r="P56">
        <v>165</v>
      </c>
      <c r="Q56">
        <v>1196</v>
      </c>
      <c r="R56">
        <v>1317</v>
      </c>
      <c r="S56">
        <v>1496</v>
      </c>
      <c r="T56">
        <v>1665</v>
      </c>
      <c r="U56">
        <v>2833</v>
      </c>
      <c r="V56">
        <v>4359</v>
      </c>
      <c r="W56">
        <v>5856</v>
      </c>
      <c r="X56">
        <v>1542</v>
      </c>
    </row>
    <row r="57" spans="1:24" x14ac:dyDescent="0.15">
      <c r="M57" s="51">
        <v>2014</v>
      </c>
      <c r="N57">
        <v>19615</v>
      </c>
      <c r="O57">
        <v>49</v>
      </c>
      <c r="P57">
        <v>168</v>
      </c>
      <c r="Q57">
        <v>1188</v>
      </c>
      <c r="R57">
        <v>1235</v>
      </c>
      <c r="S57">
        <v>1440</v>
      </c>
      <c r="T57">
        <v>1514</v>
      </c>
      <c r="U57">
        <v>2597</v>
      </c>
      <c r="V57">
        <v>4028</v>
      </c>
      <c r="W57">
        <v>5753</v>
      </c>
      <c r="X57">
        <v>1643</v>
      </c>
    </row>
    <row r="58" spans="1:24" x14ac:dyDescent="0.15">
      <c r="M58" s="51">
        <v>2015</v>
      </c>
      <c r="N58">
        <v>18280</v>
      </c>
      <c r="O58">
        <v>51</v>
      </c>
      <c r="P58">
        <v>163</v>
      </c>
      <c r="Q58">
        <v>1127</v>
      </c>
      <c r="R58">
        <v>1101</v>
      </c>
      <c r="S58">
        <v>1363</v>
      </c>
      <c r="T58">
        <v>1351</v>
      </c>
      <c r="U58">
        <v>2359</v>
      </c>
      <c r="V58">
        <v>3757</v>
      </c>
      <c r="W58">
        <v>5317</v>
      </c>
      <c r="X58">
        <v>1691</v>
      </c>
    </row>
    <row r="59" spans="1:24" x14ac:dyDescent="0.15">
      <c r="M59" s="51">
        <v>2016</v>
      </c>
      <c r="N59">
        <v>17625</v>
      </c>
      <c r="O59">
        <v>59</v>
      </c>
      <c r="P59">
        <v>190</v>
      </c>
      <c r="Q59">
        <v>1235</v>
      </c>
      <c r="R59">
        <v>1004</v>
      </c>
      <c r="S59">
        <v>1228</v>
      </c>
      <c r="T59">
        <v>1295</v>
      </c>
      <c r="U59">
        <v>2213</v>
      </c>
      <c r="V59">
        <v>3407</v>
      </c>
      <c r="W59">
        <v>5138</v>
      </c>
      <c r="X59">
        <v>1856</v>
      </c>
    </row>
    <row r="60" spans="1:24" x14ac:dyDescent="0.15">
      <c r="M60" s="51">
        <v>2017</v>
      </c>
      <c r="N60" s="72">
        <v>16789</v>
      </c>
      <c r="O60" s="59">
        <v>59</v>
      </c>
      <c r="P60" s="59">
        <v>148</v>
      </c>
      <c r="Q60" s="59">
        <v>1231</v>
      </c>
      <c r="R60" s="59">
        <v>987</v>
      </c>
      <c r="S60" s="59">
        <v>1159</v>
      </c>
      <c r="T60" s="59">
        <v>1268</v>
      </c>
      <c r="U60" s="59">
        <v>2024</v>
      </c>
      <c r="V60" s="59">
        <v>3187</v>
      </c>
      <c r="W60" s="59">
        <v>4822</v>
      </c>
      <c r="X60" s="59">
        <v>1904</v>
      </c>
    </row>
    <row r="61" spans="1:24" x14ac:dyDescent="0.15">
      <c r="M61" s="51">
        <v>2018</v>
      </c>
      <c r="N61" s="79">
        <v>15590</v>
      </c>
      <c r="O61" s="73">
        <v>51</v>
      </c>
      <c r="P61" s="73">
        <v>158</v>
      </c>
      <c r="Q61" s="73">
        <v>1273</v>
      </c>
      <c r="R61" s="73">
        <v>885</v>
      </c>
      <c r="S61" s="73">
        <v>1034</v>
      </c>
      <c r="T61" s="73">
        <v>1150</v>
      </c>
      <c r="U61" s="73">
        <v>1704</v>
      </c>
      <c r="V61" s="73">
        <v>2995</v>
      </c>
      <c r="W61" s="73">
        <v>4534</v>
      </c>
      <c r="X61" s="73">
        <v>1806</v>
      </c>
    </row>
    <row r="62" spans="1:24" x14ac:dyDescent="0.15">
      <c r="M62" s="51">
        <v>2019</v>
      </c>
      <c r="N62" s="79">
        <v>14460</v>
      </c>
      <c r="O62" s="79">
        <v>38</v>
      </c>
      <c r="P62" s="79">
        <v>142</v>
      </c>
      <c r="Q62" s="79">
        <v>1164</v>
      </c>
      <c r="R62" s="79">
        <v>767</v>
      </c>
      <c r="S62" s="79">
        <v>985</v>
      </c>
      <c r="T62" s="79">
        <v>1054</v>
      </c>
      <c r="U62" s="79">
        <v>1472</v>
      </c>
      <c r="V62" s="79">
        <v>2810</v>
      </c>
      <c r="W62" s="79">
        <v>4061</v>
      </c>
      <c r="X62" s="79">
        <v>1967</v>
      </c>
    </row>
    <row r="63" spans="1:24" x14ac:dyDescent="0.15">
      <c r="M63" s="51">
        <v>2020</v>
      </c>
      <c r="N63" s="79">
        <v>12739</v>
      </c>
      <c r="O63" s="79">
        <v>52</v>
      </c>
      <c r="P63" s="79">
        <v>75</v>
      </c>
      <c r="Q63" s="79">
        <v>1027</v>
      </c>
      <c r="R63" s="79">
        <v>686</v>
      </c>
      <c r="S63" s="79">
        <v>741</v>
      </c>
      <c r="T63" s="79">
        <v>924</v>
      </c>
      <c r="U63" s="79">
        <v>1262</v>
      </c>
      <c r="V63" s="79">
        <v>2547</v>
      </c>
      <c r="W63" s="79">
        <v>3686</v>
      </c>
      <c r="X63" s="79">
        <v>1739</v>
      </c>
    </row>
    <row r="64" spans="1:24" x14ac:dyDescent="0.15">
      <c r="M64" s="51">
        <v>2021</v>
      </c>
      <c r="N64" s="79">
        <v>11519</v>
      </c>
      <c r="O64" s="79">
        <v>29</v>
      </c>
      <c r="P64" s="79">
        <v>98</v>
      </c>
      <c r="Q64" s="79">
        <v>930</v>
      </c>
      <c r="R64" s="79">
        <v>597</v>
      </c>
      <c r="S64" s="79">
        <v>640</v>
      </c>
      <c r="T64" s="79">
        <v>841</v>
      </c>
      <c r="U64" s="79">
        <v>1070</v>
      </c>
      <c r="V64" s="79">
        <v>2241</v>
      </c>
      <c r="W64" s="79">
        <v>3440</v>
      </c>
      <c r="X64" s="79">
        <v>1633</v>
      </c>
    </row>
    <row r="65" spans="1:24" x14ac:dyDescent="0.15">
      <c r="M65" s="52">
        <v>2022</v>
      </c>
      <c r="N65" s="68">
        <v>10235</v>
      </c>
      <c r="O65" s="68">
        <v>35</v>
      </c>
      <c r="P65" s="68">
        <v>71</v>
      </c>
      <c r="Q65" s="68">
        <v>777</v>
      </c>
      <c r="R65" s="68">
        <v>503</v>
      </c>
      <c r="S65" s="68">
        <v>546</v>
      </c>
      <c r="T65" s="68">
        <v>733</v>
      </c>
      <c r="U65" s="68">
        <v>921</v>
      </c>
      <c r="V65" s="68">
        <v>2066</v>
      </c>
      <c r="W65" s="68">
        <v>3159</v>
      </c>
      <c r="X65" s="68">
        <v>1424</v>
      </c>
    </row>
    <row r="66" spans="1:24" x14ac:dyDescent="0.15">
      <c r="A66" t="s">
        <v>10</v>
      </c>
      <c r="M66" t="s">
        <v>10</v>
      </c>
    </row>
    <row r="67" spans="1:24" x14ac:dyDescent="0.15">
      <c r="B67" t="s">
        <v>1</v>
      </c>
      <c r="C67" t="s">
        <v>2</v>
      </c>
      <c r="D67" t="s">
        <v>3</v>
      </c>
      <c r="E67" t="s">
        <v>4</v>
      </c>
      <c r="F67" t="s">
        <v>5</v>
      </c>
      <c r="G67" t="s">
        <v>6</v>
      </c>
      <c r="H67" t="s">
        <v>7</v>
      </c>
      <c r="I67" t="s">
        <v>8</v>
      </c>
      <c r="J67" t="s">
        <v>9</v>
      </c>
      <c r="K67" t="s">
        <v>23</v>
      </c>
      <c r="L67" t="s">
        <v>34</v>
      </c>
      <c r="N67" t="s">
        <v>1</v>
      </c>
      <c r="O67" t="s">
        <v>2</v>
      </c>
      <c r="P67" t="s">
        <v>3</v>
      </c>
      <c r="Q67" t="s">
        <v>4</v>
      </c>
      <c r="R67" t="s">
        <v>5</v>
      </c>
      <c r="S67" t="s">
        <v>6</v>
      </c>
      <c r="T67" t="s">
        <v>7</v>
      </c>
      <c r="U67" t="s">
        <v>8</v>
      </c>
      <c r="V67" t="s">
        <v>9</v>
      </c>
      <c r="W67" t="s">
        <v>23</v>
      </c>
      <c r="X67" t="s">
        <v>34</v>
      </c>
    </row>
    <row r="68" spans="1:24" ht="13.5" customHeight="1" x14ac:dyDescent="0.15">
      <c r="A68">
        <v>62</v>
      </c>
      <c r="B68">
        <v>95384</v>
      </c>
      <c r="C68">
        <v>27572</v>
      </c>
      <c r="D68">
        <v>9245</v>
      </c>
      <c r="E68">
        <v>16898</v>
      </c>
      <c r="F68">
        <v>14420</v>
      </c>
      <c r="G68">
        <v>10246</v>
      </c>
      <c r="H68">
        <v>8208</v>
      </c>
      <c r="I68">
        <v>5422</v>
      </c>
      <c r="J68">
        <v>3373</v>
      </c>
      <c r="M68">
        <v>62</v>
      </c>
    </row>
    <row r="69" spans="1:24" ht="13.5" customHeight="1" x14ac:dyDescent="0.15">
      <c r="A69">
        <v>63</v>
      </c>
      <c r="B69">
        <v>96362</v>
      </c>
      <c r="C69">
        <v>26692</v>
      </c>
      <c r="D69">
        <v>9845</v>
      </c>
      <c r="E69">
        <v>17083</v>
      </c>
      <c r="F69">
        <v>14851</v>
      </c>
      <c r="G69">
        <v>10450</v>
      </c>
      <c r="H69">
        <v>8390</v>
      </c>
      <c r="I69">
        <v>5586</v>
      </c>
      <c r="J69">
        <v>3465</v>
      </c>
      <c r="M69">
        <v>63</v>
      </c>
    </row>
    <row r="70" spans="1:24" ht="13.5" customHeight="1" x14ac:dyDescent="0.15">
      <c r="A70">
        <v>64</v>
      </c>
      <c r="B70">
        <v>97345</v>
      </c>
      <c r="C70">
        <v>25895</v>
      </c>
      <c r="D70">
        <v>10363</v>
      </c>
      <c r="E70">
        <v>17268</v>
      </c>
      <c r="F70">
        <v>15283</v>
      </c>
      <c r="G70">
        <v>10655</v>
      </c>
      <c r="H70">
        <v>8573</v>
      </c>
      <c r="I70">
        <v>5751</v>
      </c>
      <c r="J70">
        <v>3557</v>
      </c>
      <c r="M70">
        <v>64</v>
      </c>
    </row>
    <row r="71" spans="1:24" ht="13.5" customHeight="1" x14ac:dyDescent="0.15">
      <c r="A71">
        <v>65</v>
      </c>
      <c r="B71">
        <v>98327</v>
      </c>
      <c r="C71">
        <v>24994</v>
      </c>
      <c r="D71">
        <v>10985</v>
      </c>
      <c r="E71">
        <v>17453</v>
      </c>
      <c r="F71">
        <v>15715</v>
      </c>
      <c r="G71">
        <v>10860</v>
      </c>
      <c r="H71">
        <v>8755</v>
      </c>
      <c r="I71">
        <v>5916</v>
      </c>
      <c r="J71">
        <v>3649</v>
      </c>
      <c r="M71">
        <v>65</v>
      </c>
    </row>
    <row r="72" spans="1:24" ht="13.5" customHeight="1" x14ac:dyDescent="0.15">
      <c r="A72">
        <v>66</v>
      </c>
      <c r="B72">
        <v>99595</v>
      </c>
      <c r="C72">
        <v>24203</v>
      </c>
      <c r="D72">
        <v>11444</v>
      </c>
      <c r="E72">
        <v>17938</v>
      </c>
      <c r="F72">
        <v>15915</v>
      </c>
      <c r="G72">
        <v>11351</v>
      </c>
      <c r="H72">
        <v>8863</v>
      </c>
      <c r="I72">
        <v>6084</v>
      </c>
      <c r="J72">
        <v>3797</v>
      </c>
      <c r="M72">
        <v>66</v>
      </c>
    </row>
    <row r="73" spans="1:24" ht="13.5" customHeight="1" x14ac:dyDescent="0.15">
      <c r="A73">
        <v>67</v>
      </c>
      <c r="B73">
        <v>100863</v>
      </c>
      <c r="C73">
        <v>24241</v>
      </c>
      <c r="D73">
        <v>11074</v>
      </c>
      <c r="E73">
        <v>18422</v>
      </c>
      <c r="F73">
        <v>16115</v>
      </c>
      <c r="G73">
        <v>11841</v>
      </c>
      <c r="H73">
        <v>8972</v>
      </c>
      <c r="I73">
        <v>6253</v>
      </c>
      <c r="J73">
        <v>3945</v>
      </c>
      <c r="M73">
        <v>67</v>
      </c>
    </row>
    <row r="74" spans="1:24" ht="13.5" customHeight="1" x14ac:dyDescent="0.15">
      <c r="A74">
        <v>68</v>
      </c>
      <c r="B74">
        <v>102130</v>
      </c>
      <c r="C74">
        <v>24525</v>
      </c>
      <c r="D74">
        <v>10459</v>
      </c>
      <c r="E74">
        <v>18907</v>
      </c>
      <c r="F74">
        <v>16314</v>
      </c>
      <c r="G74">
        <v>12332</v>
      </c>
      <c r="H74">
        <v>9080</v>
      </c>
      <c r="I74">
        <v>6421</v>
      </c>
      <c r="J74">
        <v>4092</v>
      </c>
      <c r="M74">
        <v>68</v>
      </c>
    </row>
    <row r="75" spans="1:24" ht="13.5" customHeight="1" x14ac:dyDescent="0.15">
      <c r="A75">
        <v>69</v>
      </c>
      <c r="B75">
        <v>103398</v>
      </c>
      <c r="C75">
        <v>24944</v>
      </c>
      <c r="D75">
        <v>9708</v>
      </c>
      <c r="E75">
        <v>19391</v>
      </c>
      <c r="F75">
        <v>16514</v>
      </c>
      <c r="G75">
        <v>12822</v>
      </c>
      <c r="H75">
        <v>9189</v>
      </c>
      <c r="I75">
        <v>6590</v>
      </c>
      <c r="J75">
        <v>4240</v>
      </c>
      <c r="M75">
        <v>69</v>
      </c>
    </row>
    <row r="76" spans="1:24" ht="13.5" customHeight="1" x14ac:dyDescent="0.15">
      <c r="A76">
        <v>70</v>
      </c>
      <c r="B76">
        <v>104666</v>
      </c>
      <c r="C76">
        <v>25138</v>
      </c>
      <c r="D76">
        <v>9182</v>
      </c>
      <c r="E76">
        <v>19876</v>
      </c>
      <c r="F76">
        <v>16714</v>
      </c>
      <c r="G76">
        <v>13313</v>
      </c>
      <c r="H76">
        <v>9297</v>
      </c>
      <c r="I76">
        <v>6758</v>
      </c>
      <c r="J76">
        <v>4388</v>
      </c>
      <c r="M76">
        <v>70</v>
      </c>
    </row>
    <row r="77" spans="1:24" ht="13.5" customHeight="1" x14ac:dyDescent="0.15">
      <c r="A77">
        <v>71</v>
      </c>
      <c r="B77">
        <v>106014</v>
      </c>
      <c r="C77">
        <v>25800</v>
      </c>
      <c r="D77">
        <v>8617</v>
      </c>
      <c r="E77">
        <v>19870</v>
      </c>
      <c r="F77">
        <v>16934</v>
      </c>
      <c r="G77">
        <v>13807</v>
      </c>
      <c r="H77">
        <v>9465</v>
      </c>
      <c r="I77">
        <v>6925</v>
      </c>
      <c r="J77">
        <v>4596</v>
      </c>
      <c r="M77">
        <v>71</v>
      </c>
    </row>
    <row r="78" spans="1:24" ht="13.5" customHeight="1" x14ac:dyDescent="0.15">
      <c r="A78">
        <v>72</v>
      </c>
      <c r="B78">
        <v>107362</v>
      </c>
      <c r="C78">
        <v>26117</v>
      </c>
      <c r="D78">
        <v>8398</v>
      </c>
      <c r="E78">
        <v>19863</v>
      </c>
      <c r="F78">
        <v>17154</v>
      </c>
      <c r="G78">
        <v>14301</v>
      </c>
      <c r="H78">
        <v>9634</v>
      </c>
      <c r="I78">
        <v>7092</v>
      </c>
      <c r="J78">
        <v>4803</v>
      </c>
      <c r="M78">
        <v>72</v>
      </c>
    </row>
    <row r="79" spans="1:24" ht="13.5" customHeight="1" x14ac:dyDescent="0.15">
      <c r="A79">
        <v>73</v>
      </c>
      <c r="B79">
        <v>108710</v>
      </c>
      <c r="C79">
        <v>26446</v>
      </c>
      <c r="D79">
        <v>8166</v>
      </c>
      <c r="E79">
        <v>19857</v>
      </c>
      <c r="F79">
        <v>17374</v>
      </c>
      <c r="G79">
        <v>14795</v>
      </c>
      <c r="H79">
        <v>9802</v>
      </c>
      <c r="I79">
        <v>7259</v>
      </c>
      <c r="J79">
        <v>5011</v>
      </c>
      <c r="M79">
        <v>73</v>
      </c>
    </row>
    <row r="80" spans="1:24" ht="13.5" customHeight="1" x14ac:dyDescent="0.15">
      <c r="A80">
        <v>74</v>
      </c>
      <c r="B80">
        <v>110049</v>
      </c>
      <c r="C80">
        <v>26851</v>
      </c>
      <c r="D80">
        <v>8074</v>
      </c>
      <c r="E80">
        <v>19642</v>
      </c>
      <c r="F80">
        <v>17616</v>
      </c>
      <c r="G80">
        <v>15154</v>
      </c>
      <c r="H80">
        <v>10078</v>
      </c>
      <c r="I80">
        <v>7462</v>
      </c>
      <c r="J80">
        <v>5172</v>
      </c>
      <c r="M80">
        <v>74</v>
      </c>
    </row>
    <row r="81" spans="1:13" ht="13.5" customHeight="1" x14ac:dyDescent="0.15">
      <c r="A81">
        <v>75</v>
      </c>
      <c r="B81">
        <v>111934</v>
      </c>
      <c r="C81">
        <v>27191</v>
      </c>
      <c r="D81">
        <v>7901</v>
      </c>
      <c r="E81">
        <v>19958</v>
      </c>
      <c r="F81">
        <v>17685</v>
      </c>
      <c r="G81">
        <v>15564</v>
      </c>
      <c r="H81">
        <v>10455</v>
      </c>
      <c r="I81">
        <v>7748</v>
      </c>
      <c r="J81">
        <v>5387</v>
      </c>
      <c r="M81">
        <v>75</v>
      </c>
    </row>
    <row r="82" spans="1:13" ht="13.5" customHeight="1" x14ac:dyDescent="0.15">
      <c r="A82">
        <v>76</v>
      </c>
      <c r="B82">
        <v>113086</v>
      </c>
      <c r="C82">
        <v>27455</v>
      </c>
      <c r="D82">
        <v>7884</v>
      </c>
      <c r="E82">
        <v>20066</v>
      </c>
      <c r="F82">
        <v>17386</v>
      </c>
      <c r="G82">
        <v>15868</v>
      </c>
      <c r="H82">
        <v>10895</v>
      </c>
      <c r="I82">
        <v>7980</v>
      </c>
      <c r="J82">
        <v>5553</v>
      </c>
      <c r="M82">
        <v>76</v>
      </c>
    </row>
    <row r="83" spans="1:13" ht="13.5" customHeight="1" x14ac:dyDescent="0.15">
      <c r="A83">
        <v>77</v>
      </c>
      <c r="B83">
        <v>114154</v>
      </c>
      <c r="C83">
        <v>27650</v>
      </c>
      <c r="D83">
        <v>7961</v>
      </c>
      <c r="E83">
        <v>19197</v>
      </c>
      <c r="F83">
        <v>17930</v>
      </c>
      <c r="G83">
        <v>16140</v>
      </c>
      <c r="H83">
        <v>11353</v>
      </c>
      <c r="I83">
        <v>8083</v>
      </c>
      <c r="J83">
        <v>5840</v>
      </c>
      <c r="M83">
        <v>77</v>
      </c>
    </row>
    <row r="84" spans="1:13" ht="13.5" customHeight="1" x14ac:dyDescent="0.15">
      <c r="A84">
        <v>78</v>
      </c>
      <c r="B84">
        <v>115174</v>
      </c>
      <c r="C84">
        <v>27708</v>
      </c>
      <c r="D84">
        <v>8017</v>
      </c>
      <c r="E84">
        <v>18340</v>
      </c>
      <c r="F84">
        <v>18658</v>
      </c>
      <c r="G84">
        <v>16294</v>
      </c>
      <c r="H84">
        <v>11866</v>
      </c>
      <c r="I84">
        <v>8191</v>
      </c>
      <c r="J84">
        <v>6098</v>
      </c>
      <c r="M84">
        <v>78</v>
      </c>
    </row>
    <row r="85" spans="1:13" ht="13.5" customHeight="1" x14ac:dyDescent="0.15">
      <c r="A85">
        <v>79</v>
      </c>
      <c r="B85">
        <v>116133</v>
      </c>
      <c r="C85">
        <v>27664</v>
      </c>
      <c r="D85">
        <v>8068</v>
      </c>
      <c r="E85">
        <v>17530</v>
      </c>
      <c r="F85">
        <v>19512</v>
      </c>
      <c r="G85">
        <v>16292</v>
      </c>
      <c r="H85">
        <v>12439</v>
      </c>
      <c r="I85">
        <v>8236</v>
      </c>
      <c r="J85">
        <v>6392</v>
      </c>
      <c r="M85">
        <v>79</v>
      </c>
    </row>
    <row r="86" spans="1:13" ht="13.5" customHeight="1" x14ac:dyDescent="0.15">
      <c r="A86">
        <v>80</v>
      </c>
      <c r="B86">
        <v>116916</v>
      </c>
      <c r="C86">
        <v>27533</v>
      </c>
      <c r="D86">
        <v>8228</v>
      </c>
      <c r="E86">
        <v>16877</v>
      </c>
      <c r="F86">
        <v>19992</v>
      </c>
      <c r="G86">
        <v>16407</v>
      </c>
      <c r="H86">
        <v>12785</v>
      </c>
      <c r="I86">
        <v>8404</v>
      </c>
      <c r="J86">
        <v>6638</v>
      </c>
      <c r="M86">
        <v>80</v>
      </c>
    </row>
    <row r="87" spans="1:13" ht="13.5" customHeight="1" x14ac:dyDescent="0.15">
      <c r="A87">
        <v>81</v>
      </c>
      <c r="B87">
        <v>117884</v>
      </c>
      <c r="C87">
        <v>27603</v>
      </c>
      <c r="D87">
        <v>8152</v>
      </c>
      <c r="E87">
        <v>16414</v>
      </c>
      <c r="F87">
        <v>20098</v>
      </c>
      <c r="G87">
        <v>16729</v>
      </c>
      <c r="H87">
        <v>13333</v>
      </c>
      <c r="I87">
        <v>8580</v>
      </c>
      <c r="J87">
        <v>6975</v>
      </c>
      <c r="M87">
        <v>81</v>
      </c>
    </row>
    <row r="88" spans="1:13" ht="13.5" customHeight="1" x14ac:dyDescent="0.15">
      <c r="A88">
        <v>82</v>
      </c>
      <c r="B88">
        <v>118693</v>
      </c>
      <c r="C88">
        <v>27254</v>
      </c>
      <c r="D88">
        <v>8414</v>
      </c>
      <c r="E88">
        <v>16096</v>
      </c>
      <c r="F88">
        <v>20044</v>
      </c>
      <c r="G88">
        <v>17027</v>
      </c>
      <c r="H88">
        <v>13820</v>
      </c>
      <c r="I88">
        <v>8748</v>
      </c>
      <c r="J88">
        <v>7291</v>
      </c>
      <c r="M88">
        <v>82</v>
      </c>
    </row>
    <row r="89" spans="1:13" ht="13.5" customHeight="1" x14ac:dyDescent="0.15">
      <c r="A89">
        <v>83</v>
      </c>
      <c r="B89">
        <v>119483</v>
      </c>
      <c r="C89">
        <v>26908</v>
      </c>
      <c r="D89">
        <v>8622</v>
      </c>
      <c r="E89">
        <v>15938</v>
      </c>
      <c r="F89">
        <v>19939</v>
      </c>
      <c r="G89">
        <v>17238</v>
      </c>
      <c r="H89">
        <v>14280</v>
      </c>
      <c r="I89">
        <v>8957</v>
      </c>
      <c r="J89">
        <v>7601</v>
      </c>
      <c r="M89">
        <v>83</v>
      </c>
    </row>
    <row r="90" spans="1:13" ht="13.5" customHeight="1" x14ac:dyDescent="0.15">
      <c r="A90">
        <v>84</v>
      </c>
      <c r="B90">
        <v>120235</v>
      </c>
      <c r="C90">
        <v>26504</v>
      </c>
      <c r="D90">
        <v>8830</v>
      </c>
      <c r="E90">
        <v>15939</v>
      </c>
      <c r="F90">
        <v>19665</v>
      </c>
      <c r="G90">
        <v>17526</v>
      </c>
      <c r="H90">
        <v>14636</v>
      </c>
      <c r="I90">
        <v>9213</v>
      </c>
      <c r="J90">
        <v>7923</v>
      </c>
      <c r="M90">
        <v>84</v>
      </c>
    </row>
    <row r="91" spans="1:13" ht="13.5" customHeight="1" x14ac:dyDescent="0.15">
      <c r="A91">
        <v>85</v>
      </c>
      <c r="B91">
        <v>121026</v>
      </c>
      <c r="C91">
        <v>26094</v>
      </c>
      <c r="D91">
        <v>8974</v>
      </c>
      <c r="E91">
        <v>16067</v>
      </c>
      <c r="F91">
        <v>19850</v>
      </c>
      <c r="G91">
        <v>17326</v>
      </c>
      <c r="H91">
        <v>14894</v>
      </c>
      <c r="I91">
        <v>9574</v>
      </c>
      <c r="J91">
        <v>8208</v>
      </c>
      <c r="M91">
        <v>85</v>
      </c>
    </row>
    <row r="92" spans="1:13" ht="13.5" customHeight="1" x14ac:dyDescent="0.15">
      <c r="A92">
        <v>86</v>
      </c>
      <c r="B92">
        <v>121672</v>
      </c>
      <c r="C92">
        <v>25434</v>
      </c>
      <c r="D92">
        <v>9511</v>
      </c>
      <c r="E92">
        <v>15862</v>
      </c>
      <c r="F92">
        <v>19940</v>
      </c>
      <c r="G92">
        <v>17085</v>
      </c>
      <c r="H92">
        <v>15237</v>
      </c>
      <c r="I92">
        <v>10013</v>
      </c>
      <c r="J92">
        <v>8588</v>
      </c>
      <c r="M92">
        <v>86</v>
      </c>
    </row>
    <row r="93" spans="1:13" ht="13.5" customHeight="1" x14ac:dyDescent="0.15">
      <c r="A93">
        <v>87</v>
      </c>
      <c r="B93">
        <v>122264</v>
      </c>
      <c r="C93">
        <v>24852</v>
      </c>
      <c r="D93">
        <v>9576</v>
      </c>
      <c r="E93">
        <v>16192</v>
      </c>
      <c r="F93">
        <v>19140</v>
      </c>
      <c r="G93">
        <v>17669</v>
      </c>
      <c r="H93">
        <v>15477</v>
      </c>
      <c r="I93">
        <v>10463</v>
      </c>
      <c r="J93">
        <v>6418</v>
      </c>
      <c r="K93">
        <v>2478</v>
      </c>
      <c r="M93">
        <v>87</v>
      </c>
    </row>
    <row r="94" spans="1:13" ht="13.5" customHeight="1" x14ac:dyDescent="0.15">
      <c r="A94">
        <v>88</v>
      </c>
      <c r="B94">
        <v>122783</v>
      </c>
      <c r="C94">
        <v>23985</v>
      </c>
      <c r="D94">
        <v>9890</v>
      </c>
      <c r="E94">
        <v>16466</v>
      </c>
      <c r="F94">
        <v>18283</v>
      </c>
      <c r="G94">
        <v>18419</v>
      </c>
      <c r="H94">
        <v>15631</v>
      </c>
      <c r="I94">
        <v>10940</v>
      </c>
      <c r="J94">
        <v>6541</v>
      </c>
      <c r="K94">
        <v>2628</v>
      </c>
      <c r="M94">
        <v>88</v>
      </c>
    </row>
    <row r="95" spans="1:13" ht="13.5" customHeight="1" x14ac:dyDescent="0.15">
      <c r="A95">
        <v>89</v>
      </c>
      <c r="B95">
        <v>123255</v>
      </c>
      <c r="C95">
        <v>23200</v>
      </c>
      <c r="D95">
        <v>10026</v>
      </c>
      <c r="E95">
        <v>16752</v>
      </c>
      <c r="F95">
        <v>17457</v>
      </c>
      <c r="G95">
        <v>19292</v>
      </c>
      <c r="H95">
        <v>15640</v>
      </c>
      <c r="I95">
        <v>11473</v>
      </c>
      <c r="J95">
        <v>6613</v>
      </c>
      <c r="K95">
        <v>2798</v>
      </c>
      <c r="M95">
        <v>89</v>
      </c>
    </row>
    <row r="96" spans="1:13" ht="13.5" customHeight="1" x14ac:dyDescent="0.15">
      <c r="A96">
        <v>90</v>
      </c>
      <c r="B96">
        <v>123610</v>
      </c>
      <c r="C96">
        <v>22490</v>
      </c>
      <c r="D96">
        <v>10020</v>
      </c>
      <c r="E96">
        <v>17110</v>
      </c>
      <c r="F96">
        <v>16820</v>
      </c>
      <c r="G96">
        <v>19720</v>
      </c>
      <c r="H96">
        <v>15830</v>
      </c>
      <c r="I96">
        <v>11840</v>
      </c>
      <c r="J96">
        <v>6836</v>
      </c>
      <c r="K96">
        <v>2955</v>
      </c>
      <c r="M96">
        <v>90</v>
      </c>
    </row>
    <row r="97" spans="1:25" ht="13.5" customHeight="1" x14ac:dyDescent="0.15">
      <c r="A97">
        <v>91</v>
      </c>
      <c r="B97">
        <v>124043</v>
      </c>
      <c r="C97">
        <v>21904</v>
      </c>
      <c r="D97">
        <v>9898</v>
      </c>
      <c r="E97">
        <v>17375</v>
      </c>
      <c r="F97">
        <v>16358</v>
      </c>
      <c r="G97">
        <v>19859</v>
      </c>
      <c r="H97">
        <v>16144</v>
      </c>
      <c r="I97">
        <v>12352</v>
      </c>
      <c r="J97">
        <v>7013</v>
      </c>
      <c r="K97">
        <v>3140</v>
      </c>
      <c r="M97">
        <v>91</v>
      </c>
    </row>
    <row r="98" spans="1:25" ht="13.5" customHeight="1" x14ac:dyDescent="0.15">
      <c r="A98">
        <v>92</v>
      </c>
      <c r="B98">
        <v>124452</v>
      </c>
      <c r="C98">
        <v>21364</v>
      </c>
      <c r="D98">
        <v>9624</v>
      </c>
      <c r="E98">
        <v>17849</v>
      </c>
      <c r="F98">
        <v>16030</v>
      </c>
      <c r="G98">
        <v>19822</v>
      </c>
      <c r="H98">
        <v>16439</v>
      </c>
      <c r="I98">
        <v>12803</v>
      </c>
      <c r="J98">
        <v>7189</v>
      </c>
      <c r="K98">
        <v>3332</v>
      </c>
      <c r="M98">
        <v>92</v>
      </c>
    </row>
    <row r="99" spans="1:25" ht="13.5" customHeight="1" x14ac:dyDescent="0.15">
      <c r="A99">
        <v>93</v>
      </c>
      <c r="B99">
        <v>124764</v>
      </c>
      <c r="C99">
        <v>20841</v>
      </c>
      <c r="D99">
        <v>9265</v>
      </c>
      <c r="E99">
        <v>18301</v>
      </c>
      <c r="F99">
        <v>15847</v>
      </c>
      <c r="G99">
        <v>19735</v>
      </c>
      <c r="H99">
        <v>16647</v>
      </c>
      <c r="I99">
        <v>13220</v>
      </c>
      <c r="J99">
        <v>7391</v>
      </c>
      <c r="K99">
        <v>3517</v>
      </c>
      <c r="M99">
        <v>93</v>
      </c>
    </row>
    <row r="100" spans="1:25" ht="13.5" customHeight="1" x14ac:dyDescent="0.15">
      <c r="A100">
        <v>94</v>
      </c>
      <c r="B100">
        <v>125034</v>
      </c>
      <c r="C100">
        <v>20414</v>
      </c>
      <c r="D100">
        <v>8867</v>
      </c>
      <c r="E100">
        <v>18658</v>
      </c>
      <c r="F100">
        <v>15803</v>
      </c>
      <c r="G100">
        <v>19470</v>
      </c>
      <c r="H100">
        <v>16916</v>
      </c>
      <c r="I100">
        <v>13547</v>
      </c>
      <c r="J100">
        <v>7638</v>
      </c>
      <c r="K100">
        <v>3719</v>
      </c>
      <c r="M100">
        <v>94</v>
      </c>
    </row>
    <row r="101" spans="1:25" ht="13.5" customHeight="1" x14ac:dyDescent="0.15">
      <c r="A101">
        <v>95</v>
      </c>
      <c r="B101">
        <v>125569</v>
      </c>
      <c r="C101">
        <v>19958</v>
      </c>
      <c r="D101">
        <v>8585</v>
      </c>
      <c r="E101">
        <v>18415</v>
      </c>
      <c r="F101">
        <v>15770</v>
      </c>
      <c r="G101">
        <v>19560</v>
      </c>
      <c r="H101">
        <v>17029</v>
      </c>
      <c r="I101">
        <v>13982</v>
      </c>
      <c r="J101">
        <v>8180</v>
      </c>
      <c r="K101">
        <v>4002</v>
      </c>
      <c r="M101">
        <v>95</v>
      </c>
    </row>
    <row r="102" spans="1:25" ht="13.5" customHeight="1" x14ac:dyDescent="0.15">
      <c r="A102">
        <v>96</v>
      </c>
      <c r="B102">
        <v>125864</v>
      </c>
      <c r="C102">
        <v>19686</v>
      </c>
      <c r="D102">
        <v>8243</v>
      </c>
      <c r="E102">
        <v>19130</v>
      </c>
      <c r="F102">
        <v>15777</v>
      </c>
      <c r="G102">
        <v>19789</v>
      </c>
      <c r="H102">
        <v>16606</v>
      </c>
      <c r="I102">
        <v>14172</v>
      </c>
      <c r="J102">
        <v>8376</v>
      </c>
      <c r="K102">
        <v>4085</v>
      </c>
      <c r="M102">
        <v>96</v>
      </c>
    </row>
    <row r="103" spans="1:25" ht="13.5" customHeight="1" x14ac:dyDescent="0.15">
      <c r="A103">
        <v>97</v>
      </c>
      <c r="B103">
        <v>126166</v>
      </c>
      <c r="C103">
        <v>19366</v>
      </c>
      <c r="D103">
        <v>8005</v>
      </c>
      <c r="E103">
        <v>19082</v>
      </c>
      <c r="F103">
        <v>16076</v>
      </c>
      <c r="G103">
        <v>19007</v>
      </c>
      <c r="H103">
        <v>17173</v>
      </c>
      <c r="I103">
        <v>14411</v>
      </c>
      <c r="J103">
        <v>8782</v>
      </c>
      <c r="K103">
        <v>4264</v>
      </c>
      <c r="M103">
        <v>97</v>
      </c>
      <c r="Y103" s="21"/>
    </row>
    <row r="104" spans="1:25" ht="13.5" customHeight="1" x14ac:dyDescent="0.15">
      <c r="A104">
        <v>98</v>
      </c>
      <c r="B104" s="7">
        <v>126486</v>
      </c>
      <c r="C104" s="7">
        <v>19059</v>
      </c>
      <c r="D104" s="7">
        <v>7807</v>
      </c>
      <c r="E104" s="7">
        <v>18993</v>
      </c>
      <c r="F104" s="7">
        <v>16343</v>
      </c>
      <c r="G104" s="7">
        <v>18167</v>
      </c>
      <c r="H104" s="7">
        <v>17900</v>
      </c>
      <c r="I104" s="7">
        <v>14568</v>
      </c>
      <c r="J104" s="7">
        <v>9207</v>
      </c>
      <c r="K104" s="7">
        <v>4444</v>
      </c>
      <c r="M104">
        <v>98</v>
      </c>
      <c r="N104">
        <v>126486</v>
      </c>
      <c r="O104">
        <v>19059</v>
      </c>
      <c r="P104">
        <v>7807</v>
      </c>
      <c r="Q104">
        <v>18993</v>
      </c>
      <c r="R104">
        <v>16343</v>
      </c>
      <c r="S104">
        <v>18167</v>
      </c>
      <c r="T104">
        <v>17900</v>
      </c>
      <c r="U104">
        <v>14568</v>
      </c>
      <c r="V104">
        <v>9207</v>
      </c>
      <c r="W104">
        <v>4444</v>
      </c>
    </row>
    <row r="105" spans="1:25" ht="13.5" customHeight="1" x14ac:dyDescent="0.15">
      <c r="A105">
        <v>99</v>
      </c>
      <c r="M105">
        <v>99</v>
      </c>
      <c r="N105">
        <v>126686</v>
      </c>
      <c r="O105">
        <v>18742</v>
      </c>
      <c r="P105">
        <v>7655</v>
      </c>
      <c r="Q105">
        <v>18785</v>
      </c>
      <c r="R105">
        <v>16594</v>
      </c>
      <c r="S105">
        <v>17341</v>
      </c>
      <c r="T105">
        <v>18753</v>
      </c>
      <c r="U105">
        <v>14581</v>
      </c>
      <c r="V105">
        <v>9663</v>
      </c>
      <c r="W105">
        <v>4572</v>
      </c>
    </row>
    <row r="106" spans="1:25" ht="13.5" customHeight="1" x14ac:dyDescent="0.15">
      <c r="A106">
        <v>2000</v>
      </c>
      <c r="M106">
        <v>2000</v>
      </c>
      <c r="N106">
        <v>126919</v>
      </c>
      <c r="O106">
        <v>18448</v>
      </c>
      <c r="P106">
        <v>7523</v>
      </c>
      <c r="Q106">
        <v>17791</v>
      </c>
      <c r="R106">
        <v>16696</v>
      </c>
      <c r="S106">
        <v>16763</v>
      </c>
      <c r="T106">
        <v>19357</v>
      </c>
      <c r="U106">
        <v>15074</v>
      </c>
      <c r="V106">
        <v>10138</v>
      </c>
      <c r="W106">
        <v>4926</v>
      </c>
    </row>
    <row r="107" spans="1:25" ht="13.5" customHeight="1" x14ac:dyDescent="0.15">
      <c r="A107">
        <v>2001</v>
      </c>
      <c r="M107">
        <v>2001</v>
      </c>
      <c r="N107">
        <v>127291</v>
      </c>
      <c r="O107">
        <v>18283</v>
      </c>
      <c r="P107">
        <v>7350</v>
      </c>
      <c r="Q107">
        <v>17904</v>
      </c>
      <c r="R107">
        <v>17339</v>
      </c>
      <c r="S107">
        <v>16283</v>
      </c>
      <c r="T107">
        <v>19345</v>
      </c>
      <c r="U107">
        <v>15195</v>
      </c>
      <c r="V107">
        <v>10490</v>
      </c>
      <c r="W107">
        <v>5101</v>
      </c>
    </row>
    <row r="108" spans="1:25" ht="13.5" customHeight="1" x14ac:dyDescent="0.15">
      <c r="A108">
        <v>2002</v>
      </c>
      <c r="M108">
        <v>2002</v>
      </c>
      <c r="N108">
        <v>127435</v>
      </c>
      <c r="O108">
        <f>5875+5983+6244</f>
        <v>18102</v>
      </c>
      <c r="P108">
        <v>7194</v>
      </c>
      <c r="Q108">
        <v>17443</v>
      </c>
      <c r="R108">
        <v>17754</v>
      </c>
      <c r="S108">
        <v>15948</v>
      </c>
      <c r="T108">
        <v>19265</v>
      </c>
      <c r="U108">
        <v>15476</v>
      </c>
      <c r="V108">
        <v>10884</v>
      </c>
      <c r="W108">
        <v>5370</v>
      </c>
    </row>
    <row r="109" spans="1:25" ht="13.5" customHeight="1" x14ac:dyDescent="0.15">
      <c r="A109">
        <v>2003</v>
      </c>
      <c r="M109" s="27">
        <v>2003</v>
      </c>
      <c r="N109">
        <v>127619</v>
      </c>
      <c r="O109">
        <f>5801+5985+6119</f>
        <v>17905</v>
      </c>
      <c r="P109">
        <v>6997</v>
      </c>
      <c r="Q109">
        <v>16965</v>
      </c>
      <c r="R109">
        <v>18169</v>
      </c>
      <c r="S109">
        <v>15788</v>
      </c>
      <c r="T109">
        <v>19183</v>
      </c>
      <c r="U109">
        <v>15709</v>
      </c>
      <c r="V109">
        <v>11256</v>
      </c>
      <c r="W109">
        <f>3021+1699</f>
        <v>4720</v>
      </c>
      <c r="X109">
        <v>931</v>
      </c>
    </row>
    <row r="110" spans="1:25" ht="13.5" customHeight="1" x14ac:dyDescent="0.15">
      <c r="A110">
        <v>2004</v>
      </c>
      <c r="M110" s="27">
        <v>2004</v>
      </c>
      <c r="N110" s="21">
        <v>127686608</v>
      </c>
      <c r="O110" s="21">
        <f>5735568+5938155+6059880</f>
        <v>17733603</v>
      </c>
      <c r="P110" s="21">
        <v>6761236</v>
      </c>
      <c r="Q110" s="21">
        <v>16480230</v>
      </c>
      <c r="R110" s="21">
        <v>18480348</v>
      </c>
      <c r="S110" s="21">
        <v>15762742</v>
      </c>
      <c r="T110" s="21">
        <v>18940021</v>
      </c>
      <c r="U110" s="21">
        <v>15995663</v>
      </c>
      <c r="V110" s="21">
        <v>11563766</v>
      </c>
      <c r="W110" s="21">
        <v>4952998</v>
      </c>
      <c r="X110" s="21">
        <v>1016001</v>
      </c>
    </row>
    <row r="111" spans="1:25" ht="13.5" customHeight="1" x14ac:dyDescent="0.15">
      <c r="A111">
        <v>2005</v>
      </c>
      <c r="M111" s="27">
        <v>2005</v>
      </c>
      <c r="N111" s="21">
        <v>127592300</v>
      </c>
      <c r="O111" s="21">
        <f>5409300+5899000+6091400</f>
        <v>17399700</v>
      </c>
      <c r="P111" s="21">
        <v>6526500</v>
      </c>
      <c r="Q111" s="21">
        <v>14908800</v>
      </c>
      <c r="R111" s="21">
        <v>17928200</v>
      </c>
      <c r="S111" s="21">
        <v>15809800</v>
      </c>
      <c r="T111" s="21">
        <v>19423600</v>
      </c>
      <c r="U111" s="21">
        <v>16507900</v>
      </c>
      <c r="V111" s="21">
        <v>12440100</v>
      </c>
      <c r="W111" s="21">
        <f>3590400+1935200</f>
        <v>5525600</v>
      </c>
      <c r="X111" s="21">
        <v>1122100</v>
      </c>
    </row>
    <row r="112" spans="1:25" ht="13.5" customHeight="1" x14ac:dyDescent="0.15">
      <c r="A112">
        <v>2006</v>
      </c>
      <c r="M112" s="27">
        <v>2006</v>
      </c>
      <c r="N112" s="21">
        <v>127769510</v>
      </c>
      <c r="O112" s="21">
        <f>11427309+6007446</f>
        <v>17434755</v>
      </c>
      <c r="P112" s="21">
        <v>6423999</v>
      </c>
      <c r="Q112" s="21">
        <v>15326565</v>
      </c>
      <c r="R112" s="21">
        <v>18916345</v>
      </c>
      <c r="S112" s="21">
        <v>15676671</v>
      </c>
      <c r="T112" s="21">
        <v>19244344</v>
      </c>
      <c r="U112" s="21">
        <v>15767183</v>
      </c>
      <c r="V112" s="21">
        <v>12226681</v>
      </c>
      <c r="W112" s="21">
        <v>5598406</v>
      </c>
      <c r="X112" s="21">
        <v>1154561</v>
      </c>
    </row>
    <row r="113" spans="1:24" ht="13.5" customHeight="1" x14ac:dyDescent="0.15">
      <c r="A113">
        <v>2007</v>
      </c>
      <c r="M113" s="27">
        <v>2007</v>
      </c>
      <c r="N113" s="21">
        <v>127770794</v>
      </c>
      <c r="O113" s="21">
        <f>11309127+1191292+1185226+1207402+1208543+1190951</f>
        <v>17292541</v>
      </c>
      <c r="P113" s="21">
        <f>1213356+1212193+1238137+1284633+1333318</f>
        <v>6281637</v>
      </c>
      <c r="Q113" s="21">
        <v>15033003</v>
      </c>
      <c r="R113" s="21">
        <v>18789917</v>
      </c>
      <c r="S113" s="21">
        <v>15952970</v>
      </c>
      <c r="T113" s="21">
        <v>18484251</v>
      </c>
      <c r="U113" s="21">
        <v>16310869</v>
      </c>
      <c r="V113" s="21">
        <v>12487116</v>
      </c>
      <c r="W113" s="21">
        <f>925754+876847+786620+677437+598992+533174+466894+440261+318647+291587</f>
        <v>5916213</v>
      </c>
      <c r="X113" s="21">
        <v>1222277</v>
      </c>
    </row>
    <row r="114" spans="1:24" ht="13.5" customHeight="1" x14ac:dyDescent="0.15">
      <c r="A114">
        <v>2008</v>
      </c>
      <c r="M114" s="27">
        <v>2008</v>
      </c>
      <c r="N114" s="21">
        <v>127692273</v>
      </c>
      <c r="O114" s="21">
        <v>17176236</v>
      </c>
      <c r="P114" s="21">
        <v>6155216</v>
      </c>
      <c r="Q114" s="21">
        <v>14735204</v>
      </c>
      <c r="R114" s="21">
        <v>18604398</v>
      </c>
      <c r="S114" s="21">
        <v>16187566</v>
      </c>
      <c r="T114" s="21">
        <v>17659375</v>
      </c>
      <c r="U114" s="21">
        <v>16998628</v>
      </c>
      <c r="V114" s="21">
        <v>12662784</v>
      </c>
      <c r="W114" s="21">
        <v>6232721</v>
      </c>
      <c r="X114" s="21">
        <v>1280145</v>
      </c>
    </row>
    <row r="115" spans="1:24" ht="13.5" customHeight="1" x14ac:dyDescent="0.15">
      <c r="A115">
        <v>2009</v>
      </c>
      <c r="M115" s="27">
        <v>2009</v>
      </c>
      <c r="N115" s="21">
        <v>127509567</v>
      </c>
      <c r="O115" s="21">
        <f>11061604+1178787+1193107+1188310+1183008+1206179</f>
        <v>17010995</v>
      </c>
      <c r="P115" s="21">
        <f>1207649+1189876+1212202+1215681+1253153</f>
        <v>6078561</v>
      </c>
      <c r="Q115" s="21">
        <v>14415457</v>
      </c>
      <c r="R115" s="21">
        <v>18306073</v>
      </c>
      <c r="S115" s="21">
        <v>16407336</v>
      </c>
      <c r="T115" s="21">
        <v>16872823</v>
      </c>
      <c r="U115" s="21">
        <v>17798058</v>
      </c>
      <c r="V115" s="21">
        <v>12723063</v>
      </c>
      <c r="W115" s="21">
        <v>6567407</v>
      </c>
      <c r="X115" s="21">
        <v>1329794</v>
      </c>
    </row>
    <row r="116" spans="1:24" ht="13.5" customHeight="1" x14ac:dyDescent="0.15">
      <c r="A116">
        <v>2010</v>
      </c>
      <c r="M116" s="51">
        <v>2010</v>
      </c>
      <c r="N116" s="21">
        <v>128056000</v>
      </c>
      <c r="O116" s="21">
        <f>10901800+1174300+1173400+1187700+1182800+1177600</f>
        <v>16797600</v>
      </c>
      <c r="P116" s="21">
        <f>1201100+1200900+1181500+1211800+1219100</f>
        <v>6014400</v>
      </c>
      <c r="Q116" s="21">
        <v>14060900</v>
      </c>
      <c r="R116" s="21">
        <v>17879600</v>
      </c>
      <c r="S116" s="21">
        <v>16634100</v>
      </c>
      <c r="T116" s="21">
        <v>16202300</v>
      </c>
      <c r="U116" s="21">
        <v>18116000</v>
      </c>
      <c r="V116" s="21">
        <v>12894300</v>
      </c>
      <c r="W116" s="21">
        <v>6809800</v>
      </c>
      <c r="X116" s="21">
        <v>1365100</v>
      </c>
    </row>
    <row r="117" spans="1:24" ht="13.5" customHeight="1" x14ac:dyDescent="0.15">
      <c r="A117">
        <v>2011</v>
      </c>
      <c r="M117" s="51">
        <v>2011</v>
      </c>
      <c r="N117" s="59">
        <v>127798704</v>
      </c>
      <c r="O117" s="59">
        <v>16705161</v>
      </c>
      <c r="P117" s="59">
        <v>6075392</v>
      </c>
      <c r="Q117">
        <v>13589216</v>
      </c>
      <c r="R117" s="59">
        <v>17804569</v>
      </c>
      <c r="S117" s="59">
        <v>17280830</v>
      </c>
      <c r="T117" s="59">
        <v>15959482</v>
      </c>
      <c r="U117" s="59">
        <v>18492571</v>
      </c>
      <c r="V117" s="59">
        <v>13326775</v>
      </c>
      <c r="W117" s="59">
        <v>7119034</v>
      </c>
      <c r="X117" s="59">
        <v>1445674</v>
      </c>
    </row>
    <row r="118" spans="1:24" ht="13.5" customHeight="1" x14ac:dyDescent="0.15">
      <c r="M118" s="51">
        <v>2012</v>
      </c>
      <c r="N118" s="59">
        <v>127515133</v>
      </c>
      <c r="O118" s="59">
        <v>16547016</v>
      </c>
      <c r="P118" s="59">
        <v>6049562</v>
      </c>
      <c r="Q118">
        <v>13320329</v>
      </c>
      <c r="R118" s="59">
        <v>17253437</v>
      </c>
      <c r="S118" s="59">
        <v>17673821</v>
      </c>
      <c r="T118" s="59">
        <v>15631681</v>
      </c>
      <c r="U118" s="59">
        <v>18450167</v>
      </c>
      <c r="V118" s="59">
        <v>13649788</v>
      </c>
      <c r="W118" s="59">
        <v>7411606</v>
      </c>
      <c r="X118" s="59">
        <v>1527726</v>
      </c>
    </row>
    <row r="119" spans="1:24" x14ac:dyDescent="0.15">
      <c r="M119" s="51">
        <v>2013</v>
      </c>
      <c r="N119" s="59">
        <v>127297686</v>
      </c>
      <c r="O119" s="59">
        <v>16390212</v>
      </c>
      <c r="P119" s="59">
        <v>6047155</v>
      </c>
      <c r="Q119" s="59">
        <v>13074161</v>
      </c>
      <c r="R119" s="59">
        <v>16683228</v>
      </c>
      <c r="S119" s="59">
        <v>18073273</v>
      </c>
      <c r="T119" s="59">
        <v>15465349</v>
      </c>
      <c r="U119" s="59">
        <v>18365543</v>
      </c>
      <c r="V119" s="59">
        <v>13897819</v>
      </c>
      <c r="W119" s="59">
        <v>7687612</v>
      </c>
      <c r="X119" s="59">
        <v>1613334</v>
      </c>
    </row>
    <row r="120" spans="1:24" x14ac:dyDescent="0.15">
      <c r="M120" s="51">
        <v>2014</v>
      </c>
      <c r="N120" s="59">
        <v>127082819</v>
      </c>
      <c r="O120" s="59">
        <v>16233253</v>
      </c>
      <c r="P120" s="59">
        <v>6005397</v>
      </c>
      <c r="Q120" s="59">
        <v>12880664</v>
      </c>
      <c r="R120" s="59">
        <v>16136825</v>
      </c>
      <c r="S120" s="59">
        <v>18401545</v>
      </c>
      <c r="T120" s="59">
        <v>15445384</v>
      </c>
      <c r="U120" s="59">
        <v>18134189</v>
      </c>
      <c r="V120" s="59">
        <v>14197438</v>
      </c>
      <c r="W120" s="59">
        <v>7931594</v>
      </c>
      <c r="X120" s="59">
        <v>1716530</v>
      </c>
    </row>
    <row r="121" spans="1:24" x14ac:dyDescent="0.15">
      <c r="M121" s="51">
        <v>2015</v>
      </c>
      <c r="N121" s="59">
        <v>127110000</v>
      </c>
      <c r="O121" s="59">
        <v>15864400</v>
      </c>
      <c r="P121" s="59">
        <v>5892500</v>
      </c>
      <c r="Q121" s="59">
        <v>12586700</v>
      </c>
      <c r="R121" s="59">
        <v>15447200</v>
      </c>
      <c r="S121" s="59">
        <v>18274200</v>
      </c>
      <c r="T121" s="59">
        <v>15338500</v>
      </c>
      <c r="U121" s="59">
        <v>17962600</v>
      </c>
      <c r="V121" s="59">
        <v>13943000</v>
      </c>
      <c r="W121" s="59">
        <v>8056400</v>
      </c>
      <c r="X121" s="59">
        <v>1838800</v>
      </c>
    </row>
    <row r="122" spans="1:24" x14ac:dyDescent="0.15">
      <c r="M122" s="51">
        <v>2016</v>
      </c>
      <c r="N122" s="59">
        <v>126932772</v>
      </c>
      <c r="O122" s="59">
        <v>15780367</v>
      </c>
      <c r="P122" s="59">
        <v>6039755</v>
      </c>
      <c r="Q122" s="59">
        <v>12543238</v>
      </c>
      <c r="R122" s="59">
        <v>15374598</v>
      </c>
      <c r="S122" s="59">
        <v>18994084</v>
      </c>
      <c r="T122" s="59">
        <v>15449822</v>
      </c>
      <c r="U122" s="59">
        <v>18434911</v>
      </c>
      <c r="V122" s="59">
        <v>13933301</v>
      </c>
      <c r="W122" s="59">
        <v>8455360</v>
      </c>
      <c r="X122" s="59">
        <v>1927336</v>
      </c>
    </row>
    <row r="123" spans="1:24" x14ac:dyDescent="0.15">
      <c r="M123" s="51">
        <v>2017</v>
      </c>
      <c r="N123" s="59">
        <v>126706210</v>
      </c>
      <c r="O123" s="59">
        <v>15592122</v>
      </c>
      <c r="P123" s="59">
        <v>5995246</v>
      </c>
      <c r="Q123" s="59">
        <v>12518695</v>
      </c>
      <c r="R123" s="59">
        <v>14996074</v>
      </c>
      <c r="S123" s="59">
        <v>18899538</v>
      </c>
      <c r="T123" s="59">
        <v>15748285</v>
      </c>
      <c r="U123" s="59">
        <v>17725443</v>
      </c>
      <c r="V123" s="59">
        <v>14487241</v>
      </c>
      <c r="W123" s="59">
        <v>8688983</v>
      </c>
      <c r="X123" s="59">
        <v>2054583</v>
      </c>
    </row>
    <row r="124" spans="1:24" x14ac:dyDescent="0.15">
      <c r="M124" s="51">
        <v>2018</v>
      </c>
      <c r="N124" s="59">
        <v>126443180</v>
      </c>
      <c r="O124" s="59">
        <v>15414562</v>
      </c>
      <c r="P124" s="59">
        <v>5906609</v>
      </c>
      <c r="Q124" s="59">
        <v>12552808</v>
      </c>
      <c r="R124" s="59">
        <v>14630009</v>
      </c>
      <c r="S124" s="59">
        <v>18759336</v>
      </c>
      <c r="T124" s="59">
        <v>16010843</v>
      </c>
      <c r="U124" s="59">
        <v>16959225</v>
      </c>
      <c r="V124" s="59">
        <v>15166375</v>
      </c>
      <c r="W124" s="59">
        <v>8860969</v>
      </c>
      <c r="X124" s="59">
        <v>2182444</v>
      </c>
    </row>
    <row r="125" spans="1:24" x14ac:dyDescent="0.15">
      <c r="M125" s="51">
        <v>2019</v>
      </c>
      <c r="N125" s="59">
        <v>126166948</v>
      </c>
      <c r="O125" s="86">
        <v>15210332</v>
      </c>
      <c r="P125" s="59">
        <v>5820227</v>
      </c>
      <c r="Q125" s="59">
        <v>12627964</v>
      </c>
      <c r="R125" s="59">
        <v>14303042</v>
      </c>
      <c r="S125" s="59">
        <v>18519755</v>
      </c>
      <c r="T125" s="59">
        <v>16277853</v>
      </c>
      <c r="U125" s="59">
        <v>16231582</v>
      </c>
      <c r="V125" s="59">
        <v>15926926</v>
      </c>
      <c r="W125" s="59">
        <v>8939954</v>
      </c>
      <c r="X125" s="59">
        <v>2309313</v>
      </c>
    </row>
    <row r="126" spans="1:24" x14ac:dyDescent="0.15">
      <c r="M126" s="51">
        <v>2020</v>
      </c>
      <c r="N126" s="89">
        <v>126146099</v>
      </c>
      <c r="O126" s="89">
        <v>15031602</v>
      </c>
      <c r="P126" s="89">
        <v>5706306</v>
      </c>
      <c r="Q126" s="89">
        <v>12704110</v>
      </c>
      <c r="R126" s="89">
        <v>14212148</v>
      </c>
      <c r="S126" s="89">
        <v>18344698</v>
      </c>
      <c r="T126" s="89">
        <v>16678211</v>
      </c>
      <c r="U126" s="89">
        <v>15678666</v>
      </c>
      <c r="V126" s="89">
        <v>16253175</v>
      </c>
      <c r="W126" s="89">
        <v>9145845</v>
      </c>
      <c r="X126" s="89">
        <v>2391338</v>
      </c>
    </row>
    <row r="127" spans="1:24" x14ac:dyDescent="0.15">
      <c r="M127" s="51">
        <v>2021</v>
      </c>
      <c r="N127" s="89">
        <v>125502290</v>
      </c>
      <c r="O127" s="89">
        <v>14784279</v>
      </c>
      <c r="P127" s="89">
        <v>5579706</v>
      </c>
      <c r="Q127" s="89">
        <v>12642363</v>
      </c>
      <c r="R127" s="89">
        <v>13909496</v>
      </c>
      <c r="S127" s="89">
        <v>17904369</v>
      </c>
      <c r="T127" s="89">
        <v>17076446</v>
      </c>
      <c r="U127" s="89">
        <v>15260403</v>
      </c>
      <c r="V127" s="89">
        <v>16383850</v>
      </c>
      <c r="W127" s="89">
        <v>9434899</v>
      </c>
      <c r="X127" s="89">
        <v>2526479</v>
      </c>
    </row>
    <row r="128" spans="1:24" x14ac:dyDescent="0.15">
      <c r="M128" s="52">
        <v>2022</v>
      </c>
      <c r="N128" s="87">
        <v>124946789</v>
      </c>
      <c r="O128" s="87">
        <v>14502637</v>
      </c>
      <c r="P128" s="87">
        <v>5512327</v>
      </c>
      <c r="Q128" s="87">
        <v>12675356</v>
      </c>
      <c r="R128" s="87">
        <v>13657636</v>
      </c>
      <c r="S128" s="87">
        <v>17408228</v>
      </c>
      <c r="T128" s="87">
        <v>17509965</v>
      </c>
      <c r="U128" s="87">
        <v>14979372</v>
      </c>
      <c r="V128" s="87">
        <v>16366440</v>
      </c>
      <c r="W128" s="87">
        <v>9697711</v>
      </c>
      <c r="X128" s="87">
        <v>2637117</v>
      </c>
    </row>
    <row r="129" spans="1:24" x14ac:dyDescent="0.15">
      <c r="A129" t="s">
        <v>11</v>
      </c>
      <c r="M129" t="s">
        <v>11</v>
      </c>
    </row>
    <row r="130" spans="1:24" ht="13.5" customHeight="1" x14ac:dyDescent="0.15">
      <c r="B130" t="s">
        <v>1</v>
      </c>
      <c r="C130" t="s">
        <v>2</v>
      </c>
      <c r="D130" t="s">
        <v>3</v>
      </c>
      <c r="E130" t="s">
        <v>4</v>
      </c>
      <c r="F130" t="s">
        <v>5</v>
      </c>
      <c r="G130" t="s">
        <v>6</v>
      </c>
      <c r="H130" t="s">
        <v>7</v>
      </c>
      <c r="I130" t="s">
        <v>8</v>
      </c>
      <c r="J130" t="s">
        <v>9</v>
      </c>
      <c r="K130" t="s">
        <v>23</v>
      </c>
      <c r="L130" t="s">
        <v>34</v>
      </c>
      <c r="N130" t="s">
        <v>1</v>
      </c>
      <c r="O130" t="s">
        <v>2</v>
      </c>
      <c r="P130" t="s">
        <v>3</v>
      </c>
      <c r="Q130" t="s">
        <v>4</v>
      </c>
      <c r="R130" t="s">
        <v>5</v>
      </c>
      <c r="S130" t="s">
        <v>6</v>
      </c>
      <c r="T130" t="s">
        <v>7</v>
      </c>
      <c r="U130" t="s">
        <v>8</v>
      </c>
      <c r="V130" t="s">
        <v>9</v>
      </c>
      <c r="W130" t="s">
        <v>23</v>
      </c>
      <c r="X130" t="s">
        <v>34</v>
      </c>
    </row>
    <row r="131" spans="1:24" ht="13.5" customHeight="1" x14ac:dyDescent="0.15">
      <c r="A131">
        <v>62</v>
      </c>
      <c r="B131" s="3">
        <f t="shared" ref="B131:B165" si="0">+B5*100/B68</f>
        <v>402.34525706617461</v>
      </c>
      <c r="C131" s="3">
        <f t="shared" ref="C131:J131" si="1">+C5*100/C68</f>
        <v>189.13753082837661</v>
      </c>
      <c r="D131" s="3">
        <f t="shared" si="1"/>
        <v>218.70200108166577</v>
      </c>
      <c r="E131" s="3">
        <f t="shared" si="1"/>
        <v>412.71748135874066</v>
      </c>
      <c r="F131" s="3">
        <f t="shared" si="1"/>
        <v>509.19556171983356</v>
      </c>
      <c r="G131" s="3">
        <f t="shared" si="1"/>
        <v>527.75717353113407</v>
      </c>
      <c r="H131" s="3">
        <f t="shared" si="1"/>
        <v>613.40155945419099</v>
      </c>
      <c r="I131" s="3">
        <f t="shared" si="1"/>
        <v>746.93839911471787</v>
      </c>
      <c r="J131" s="3">
        <f t="shared" si="1"/>
        <v>606.7002668247851</v>
      </c>
      <c r="K131" s="3"/>
      <c r="M131">
        <v>62</v>
      </c>
    </row>
    <row r="132" spans="1:24" ht="13.5" customHeight="1" x14ac:dyDescent="0.15">
      <c r="A132">
        <v>63</v>
      </c>
      <c r="B132" s="3">
        <f t="shared" si="0"/>
        <v>385.91768539465767</v>
      </c>
      <c r="C132" s="3">
        <f t="shared" ref="C132:J141" si="2">+C6*100/C69</f>
        <v>209.9468005394875</v>
      </c>
      <c r="D132" s="3">
        <f t="shared" si="2"/>
        <v>211.79278821736924</v>
      </c>
      <c r="E132" s="3">
        <f t="shared" si="2"/>
        <v>395.85552888836855</v>
      </c>
      <c r="F132" s="3">
        <f t="shared" si="2"/>
        <v>479.84647498484952</v>
      </c>
      <c r="G132" s="3">
        <f t="shared" si="2"/>
        <v>489.66507177033492</v>
      </c>
      <c r="H132" s="3">
        <f t="shared" si="2"/>
        <v>559.60667461263404</v>
      </c>
      <c r="I132" s="3">
        <f t="shared" si="2"/>
        <v>673.48728965270323</v>
      </c>
      <c r="J132" s="3">
        <f t="shared" si="2"/>
        <v>554.19913419913416</v>
      </c>
      <c r="K132" s="3"/>
      <c r="M132">
        <v>63</v>
      </c>
      <c r="W132" s="67"/>
    </row>
    <row r="133" spans="1:24" ht="13.5" customHeight="1" x14ac:dyDescent="0.15">
      <c r="A133">
        <v>64</v>
      </c>
      <c r="B133" s="3">
        <f t="shared" si="0"/>
        <v>354.8923930350814</v>
      </c>
      <c r="C133" s="3">
        <f t="shared" si="2"/>
        <v>199.5713458196563</v>
      </c>
      <c r="D133" s="3">
        <f t="shared" si="2"/>
        <v>187.29132490591527</v>
      </c>
      <c r="E133" s="3">
        <f t="shared" si="2"/>
        <v>354.05953208246467</v>
      </c>
      <c r="F133" s="3">
        <f t="shared" si="2"/>
        <v>416.80952692534186</v>
      </c>
      <c r="G133" s="3">
        <f t="shared" si="2"/>
        <v>447.30173627404974</v>
      </c>
      <c r="H133" s="3">
        <f t="shared" si="2"/>
        <v>518.86154205062405</v>
      </c>
      <c r="I133" s="3">
        <f t="shared" si="2"/>
        <v>639.55833768040338</v>
      </c>
      <c r="J133" s="3">
        <f t="shared" si="2"/>
        <v>557.80151813325836</v>
      </c>
      <c r="K133" s="3"/>
      <c r="M133">
        <v>64</v>
      </c>
      <c r="W133" s="67"/>
    </row>
    <row r="134" spans="1:24" ht="13.5" customHeight="1" x14ac:dyDescent="0.15">
      <c r="A134">
        <v>65</v>
      </c>
      <c r="B134" s="3">
        <f t="shared" si="0"/>
        <v>309.7379153233598</v>
      </c>
      <c r="C134" s="3">
        <f t="shared" si="2"/>
        <v>176.76242298151556</v>
      </c>
      <c r="D134" s="3">
        <f t="shared" si="2"/>
        <v>148.9940828402367</v>
      </c>
      <c r="E134" s="3">
        <f t="shared" si="2"/>
        <v>285.74457113390247</v>
      </c>
      <c r="F134" s="3">
        <f t="shared" si="2"/>
        <v>344.5052497613745</v>
      </c>
      <c r="G134" s="3">
        <f t="shared" si="2"/>
        <v>400.8011049723757</v>
      </c>
      <c r="H134" s="3">
        <f t="shared" si="2"/>
        <v>470.63392347230155</v>
      </c>
      <c r="I134" s="3">
        <f t="shared" si="2"/>
        <v>598.78296146044624</v>
      </c>
      <c r="J134" s="3">
        <f t="shared" si="2"/>
        <v>535.81803233762673</v>
      </c>
      <c r="K134" s="3"/>
      <c r="M134">
        <v>65</v>
      </c>
    </row>
    <row r="135" spans="1:24" ht="13.5" customHeight="1" x14ac:dyDescent="0.15">
      <c r="A135">
        <v>66</v>
      </c>
      <c r="B135" s="3">
        <f t="shared" si="0"/>
        <v>280.97093227571668</v>
      </c>
      <c r="C135" s="3">
        <f t="shared" si="2"/>
        <v>179.0315250175598</v>
      </c>
      <c r="D135" s="3">
        <f t="shared" si="2"/>
        <v>131.99930094372596</v>
      </c>
      <c r="E135" s="3">
        <f t="shared" si="2"/>
        <v>241.82183075036235</v>
      </c>
      <c r="F135" s="3">
        <f t="shared" si="2"/>
        <v>304.48005026704368</v>
      </c>
      <c r="G135" s="3">
        <f t="shared" si="2"/>
        <v>348.68293542419173</v>
      </c>
      <c r="H135" s="3">
        <f t="shared" si="2"/>
        <v>428.94053932077173</v>
      </c>
      <c r="I135" s="3">
        <f t="shared" si="2"/>
        <v>536.68639053254435</v>
      </c>
      <c r="J135" s="3">
        <f t="shared" si="2"/>
        <v>498.89386357650778</v>
      </c>
      <c r="K135" s="3"/>
      <c r="M135">
        <v>66</v>
      </c>
    </row>
    <row r="136" spans="1:24" ht="13.5" customHeight="1" x14ac:dyDescent="0.15">
      <c r="A136">
        <v>67</v>
      </c>
      <c r="B136" s="3">
        <f t="shared" si="0"/>
        <v>251.60960907369403</v>
      </c>
      <c r="C136" s="3">
        <f t="shared" si="2"/>
        <v>166.47828059898518</v>
      </c>
      <c r="D136" s="3">
        <f t="shared" si="2"/>
        <v>116.29944013003431</v>
      </c>
      <c r="E136" s="3">
        <f t="shared" si="2"/>
        <v>204.90174791010747</v>
      </c>
      <c r="F136" s="3">
        <f t="shared" si="2"/>
        <v>263.64877443375735</v>
      </c>
      <c r="G136" s="3">
        <f t="shared" si="2"/>
        <v>306.51127438560934</v>
      </c>
      <c r="H136" s="3">
        <f t="shared" si="2"/>
        <v>380.86268390548372</v>
      </c>
      <c r="I136" s="3">
        <f t="shared" si="2"/>
        <v>497.80905165520551</v>
      </c>
      <c r="J136" s="3">
        <f t="shared" si="2"/>
        <v>469.68314321926488</v>
      </c>
      <c r="K136" s="3"/>
      <c r="M136">
        <v>67</v>
      </c>
    </row>
    <row r="137" spans="1:24" ht="13.5" customHeight="1" x14ac:dyDescent="0.15">
      <c r="A137">
        <v>68</v>
      </c>
      <c r="B137" s="3">
        <f t="shared" si="0"/>
        <v>223.45637912464505</v>
      </c>
      <c r="C137" s="3">
        <f t="shared" si="2"/>
        <v>140.26503567787972</v>
      </c>
      <c r="D137" s="3">
        <f t="shared" si="2"/>
        <v>95.898269433024183</v>
      </c>
      <c r="E137" s="3">
        <f t="shared" si="2"/>
        <v>173.71343946686412</v>
      </c>
      <c r="F137" s="3">
        <f t="shared" si="2"/>
        <v>223.77099423807772</v>
      </c>
      <c r="G137" s="3">
        <f t="shared" si="2"/>
        <v>276.67045085955237</v>
      </c>
      <c r="H137" s="3">
        <f t="shared" si="2"/>
        <v>353.42511013215858</v>
      </c>
      <c r="I137" s="3">
        <f t="shared" si="2"/>
        <v>461.23656751284847</v>
      </c>
      <c r="J137" s="3">
        <f t="shared" si="2"/>
        <v>451.31964809384164</v>
      </c>
      <c r="K137" s="3"/>
      <c r="M137">
        <v>68</v>
      </c>
    </row>
    <row r="138" spans="1:24" ht="13.5" customHeight="1" x14ac:dyDescent="0.15">
      <c r="A138">
        <v>69</v>
      </c>
      <c r="B138" s="3">
        <f t="shared" si="0"/>
        <v>193.30161124973404</v>
      </c>
      <c r="C138" s="3">
        <f t="shared" si="2"/>
        <v>95.016837716484929</v>
      </c>
      <c r="D138" s="3">
        <f t="shared" si="2"/>
        <v>78.100535640708699</v>
      </c>
      <c r="E138" s="3">
        <f t="shared" si="2"/>
        <v>152.323242741478</v>
      </c>
      <c r="F138" s="3">
        <f t="shared" si="2"/>
        <v>191.37701344313916</v>
      </c>
      <c r="G138" s="3">
        <f t="shared" si="2"/>
        <v>245.86647948837935</v>
      </c>
      <c r="H138" s="3">
        <f t="shared" si="2"/>
        <v>318.40243769724668</v>
      </c>
      <c r="I138" s="3">
        <f t="shared" si="2"/>
        <v>433.41426403641884</v>
      </c>
      <c r="J138" s="3">
        <f t="shared" si="2"/>
        <v>425.1179245283019</v>
      </c>
      <c r="K138" s="3"/>
      <c r="M138">
        <v>69</v>
      </c>
    </row>
    <row r="139" spans="1:24" ht="13.5" customHeight="1" x14ac:dyDescent="0.15">
      <c r="A139">
        <v>70</v>
      </c>
      <c r="B139" s="3">
        <f t="shared" si="0"/>
        <v>170.96287237498328</v>
      </c>
      <c r="C139" s="3">
        <f t="shared" si="2"/>
        <v>72.388415943989173</v>
      </c>
      <c r="D139" s="3">
        <f t="shared" si="2"/>
        <v>65.388804182095399</v>
      </c>
      <c r="E139" s="3">
        <f t="shared" si="2"/>
        <v>130.28275306902796</v>
      </c>
      <c r="F139" s="3">
        <f t="shared" si="2"/>
        <v>160.67966973794424</v>
      </c>
      <c r="G139" s="3">
        <f t="shared" si="2"/>
        <v>216.93833095470592</v>
      </c>
      <c r="H139" s="3">
        <f t="shared" si="2"/>
        <v>293.09454662794451</v>
      </c>
      <c r="I139" s="3">
        <f t="shared" si="2"/>
        <v>411.34951168984907</v>
      </c>
      <c r="J139" s="3">
        <f t="shared" si="2"/>
        <v>410.36918869644484</v>
      </c>
      <c r="K139" s="3"/>
      <c r="M139">
        <v>70</v>
      </c>
    </row>
    <row r="140" spans="1:24" ht="13.5" customHeight="1" x14ac:dyDescent="0.15">
      <c r="A140">
        <v>71</v>
      </c>
      <c r="B140" s="3">
        <f t="shared" si="0"/>
        <v>149.19161620163374</v>
      </c>
      <c r="C140" s="3">
        <f t="shared" si="2"/>
        <v>60.20542635658915</v>
      </c>
      <c r="D140" s="3">
        <f t="shared" si="2"/>
        <v>57.363351514448183</v>
      </c>
      <c r="E140" s="3">
        <f t="shared" si="2"/>
        <v>115.48062405636638</v>
      </c>
      <c r="F140" s="3">
        <f t="shared" si="2"/>
        <v>138.76815873390811</v>
      </c>
      <c r="G140" s="3">
        <f t="shared" si="2"/>
        <v>186.66618381980155</v>
      </c>
      <c r="H140" s="3">
        <f t="shared" si="2"/>
        <v>249.14949815108292</v>
      </c>
      <c r="I140" s="3">
        <f t="shared" si="2"/>
        <v>354.70036101083031</v>
      </c>
      <c r="J140" s="3">
        <f t="shared" si="2"/>
        <v>378.00261096605743</v>
      </c>
      <c r="K140" s="3"/>
      <c r="M140">
        <v>71</v>
      </c>
    </row>
    <row r="141" spans="1:24" ht="13.5" customHeight="1" x14ac:dyDescent="0.15">
      <c r="A141">
        <v>72</v>
      </c>
      <c r="B141" s="3">
        <f t="shared" si="0"/>
        <v>137.796427041225</v>
      </c>
      <c r="C141" s="3">
        <f t="shared" si="2"/>
        <v>50.461385304590877</v>
      </c>
      <c r="D141" s="3">
        <f t="shared" si="2"/>
        <v>51.8694927363658</v>
      </c>
      <c r="E141" s="3">
        <f t="shared" si="2"/>
        <v>106.28807330211951</v>
      </c>
      <c r="F141" s="3">
        <f t="shared" si="2"/>
        <v>123.18992654774397</v>
      </c>
      <c r="G141" s="3">
        <f t="shared" si="2"/>
        <v>168.7784071043983</v>
      </c>
      <c r="H141" s="3">
        <f t="shared" si="2"/>
        <v>228.60701681544529</v>
      </c>
      <c r="I141" s="3">
        <f t="shared" si="2"/>
        <v>327.62267343485615</v>
      </c>
      <c r="J141" s="3">
        <f t="shared" si="2"/>
        <v>389.94378513429109</v>
      </c>
      <c r="K141" s="3"/>
      <c r="M141">
        <v>72</v>
      </c>
    </row>
    <row r="142" spans="1:24" ht="13.5" customHeight="1" x14ac:dyDescent="0.15">
      <c r="A142">
        <v>73</v>
      </c>
      <c r="B142" s="3">
        <f t="shared" si="0"/>
        <v>118.48036059240181</v>
      </c>
      <c r="C142" s="3">
        <f t="shared" ref="C142:J151" si="3">+C16*100/C79</f>
        <v>36.141571504197231</v>
      </c>
      <c r="D142" s="3">
        <f t="shared" si="3"/>
        <v>43.497428361498898</v>
      </c>
      <c r="E142" s="3">
        <f t="shared" si="3"/>
        <v>89.368988266102633</v>
      </c>
      <c r="F142" s="3">
        <f t="shared" si="3"/>
        <v>103.70668815471394</v>
      </c>
      <c r="G142" s="3">
        <f t="shared" si="3"/>
        <v>143.11591753970936</v>
      </c>
      <c r="H142" s="3">
        <f t="shared" si="3"/>
        <v>199.75515200979393</v>
      </c>
      <c r="I142" s="3">
        <f t="shared" si="3"/>
        <v>284.39178950268632</v>
      </c>
      <c r="J142" s="3">
        <f t="shared" si="3"/>
        <v>368.28976252245059</v>
      </c>
      <c r="K142" s="3"/>
      <c r="M142">
        <v>73</v>
      </c>
    </row>
    <row r="143" spans="1:24" ht="13.5" customHeight="1" x14ac:dyDescent="0.15">
      <c r="A143">
        <v>74</v>
      </c>
      <c r="B143" s="3">
        <f t="shared" si="0"/>
        <v>106.65067379076594</v>
      </c>
      <c r="C143" s="3">
        <f t="shared" si="3"/>
        <v>26.364008789244348</v>
      </c>
      <c r="D143" s="3">
        <f t="shared" si="3"/>
        <v>36.821897448600446</v>
      </c>
      <c r="E143" s="3">
        <f t="shared" si="3"/>
        <v>78.993992465125757</v>
      </c>
      <c r="F143" s="3">
        <f t="shared" si="3"/>
        <v>89.418710263396918</v>
      </c>
      <c r="G143" s="3">
        <f t="shared" si="3"/>
        <v>127.05556288768642</v>
      </c>
      <c r="H143" s="3">
        <f t="shared" si="3"/>
        <v>185.3046239333201</v>
      </c>
      <c r="I143" s="3">
        <f t="shared" si="3"/>
        <v>275.94478692039667</v>
      </c>
      <c r="J143" s="3">
        <f t="shared" si="3"/>
        <v>338.65042536736274</v>
      </c>
      <c r="K143" s="3"/>
      <c r="M143">
        <v>74</v>
      </c>
    </row>
    <row r="144" spans="1:24" ht="13.5" customHeight="1" x14ac:dyDescent="0.15">
      <c r="A144">
        <v>75</v>
      </c>
      <c r="B144" s="3">
        <f t="shared" si="0"/>
        <v>96.564046670359318</v>
      </c>
      <c r="C144" s="3">
        <f t="shared" si="3"/>
        <v>18.039057040932661</v>
      </c>
      <c r="D144" s="3">
        <f t="shared" si="3"/>
        <v>32.780660675863814</v>
      </c>
      <c r="E144" s="3">
        <f t="shared" si="3"/>
        <v>70.202425092694654</v>
      </c>
      <c r="F144" s="3">
        <f t="shared" si="3"/>
        <v>78.467627933276788</v>
      </c>
      <c r="G144" s="3">
        <f t="shared" si="3"/>
        <v>115.2916987920843</v>
      </c>
      <c r="H144" s="3">
        <f t="shared" si="3"/>
        <v>175.46628407460545</v>
      </c>
      <c r="I144" s="3">
        <f t="shared" si="3"/>
        <v>252.60712441920495</v>
      </c>
      <c r="J144" s="3">
        <f t="shared" si="3"/>
        <v>312.53016521254875</v>
      </c>
      <c r="K144" s="3"/>
      <c r="M144">
        <v>75</v>
      </c>
    </row>
    <row r="145" spans="1:13" ht="13.5" customHeight="1" x14ac:dyDescent="0.15">
      <c r="A145">
        <v>76</v>
      </c>
      <c r="B145" s="3">
        <f t="shared" si="0"/>
        <v>86.59250481934103</v>
      </c>
      <c r="C145" s="3">
        <f t="shared" si="3"/>
        <v>14.492806410489893</v>
      </c>
      <c r="D145" s="3">
        <f t="shared" si="3"/>
        <v>30.301877219685437</v>
      </c>
      <c r="E145" s="3">
        <f t="shared" si="3"/>
        <v>61.726303199441844</v>
      </c>
      <c r="F145" s="3">
        <f t="shared" si="3"/>
        <v>71.63809962038421</v>
      </c>
      <c r="G145" s="3">
        <f t="shared" si="3"/>
        <v>102.91152004033275</v>
      </c>
      <c r="H145" s="3">
        <f t="shared" si="3"/>
        <v>152.51950435979808</v>
      </c>
      <c r="I145" s="3">
        <f t="shared" si="3"/>
        <v>225.21303258145363</v>
      </c>
      <c r="J145" s="3">
        <f t="shared" si="3"/>
        <v>284.35080136862956</v>
      </c>
      <c r="K145" s="3"/>
      <c r="M145">
        <v>76</v>
      </c>
    </row>
    <row r="146" spans="1:13" ht="13.5" customHeight="1" x14ac:dyDescent="0.15">
      <c r="A146">
        <v>77</v>
      </c>
      <c r="B146" s="3">
        <f t="shared" si="0"/>
        <v>78.17947684706624</v>
      </c>
      <c r="C146" s="3">
        <f t="shared" si="3"/>
        <v>11.320072332730561</v>
      </c>
      <c r="D146" s="3">
        <f t="shared" si="3"/>
        <v>25.54955407612109</v>
      </c>
      <c r="E146" s="3">
        <f t="shared" si="3"/>
        <v>53.935510756889094</v>
      </c>
      <c r="F146" s="3">
        <f t="shared" si="3"/>
        <v>61.695482431678748</v>
      </c>
      <c r="G146" s="3">
        <f t="shared" si="3"/>
        <v>90.669144981412643</v>
      </c>
      <c r="H146" s="3">
        <f t="shared" si="3"/>
        <v>140.45626706597375</v>
      </c>
      <c r="I146" s="3">
        <f t="shared" si="3"/>
        <v>207.65804775454657</v>
      </c>
      <c r="J146" s="3">
        <f t="shared" si="3"/>
        <v>261.95205479452056</v>
      </c>
      <c r="K146" s="3"/>
      <c r="M146">
        <v>77</v>
      </c>
    </row>
    <row r="147" spans="1:13" ht="13.5" customHeight="1" x14ac:dyDescent="0.15">
      <c r="A147">
        <v>78</v>
      </c>
      <c r="B147" s="3">
        <f t="shared" si="0"/>
        <v>70.006251410908718</v>
      </c>
      <c r="C147" s="3">
        <f t="shared" si="3"/>
        <v>9.3474808719503386</v>
      </c>
      <c r="D147" s="3">
        <f t="shared" si="3"/>
        <v>21.55419733067232</v>
      </c>
      <c r="E147" s="3">
        <f t="shared" si="3"/>
        <v>46.766630316248637</v>
      </c>
      <c r="F147" s="3">
        <f t="shared" si="3"/>
        <v>52.979954979097435</v>
      </c>
      <c r="G147" s="3">
        <f t="shared" si="3"/>
        <v>78.0778200564625</v>
      </c>
      <c r="H147" s="3">
        <f t="shared" si="3"/>
        <v>124.54070453396258</v>
      </c>
      <c r="I147" s="3">
        <f t="shared" si="3"/>
        <v>188.69490904651445</v>
      </c>
      <c r="J147" s="3">
        <f t="shared" si="3"/>
        <v>244.17841915382093</v>
      </c>
      <c r="K147" s="3"/>
      <c r="M147">
        <v>78</v>
      </c>
    </row>
    <row r="148" spans="1:13" ht="13.5" customHeight="1" x14ac:dyDescent="0.15">
      <c r="A148">
        <v>79</v>
      </c>
      <c r="B148" s="3">
        <f t="shared" si="0"/>
        <v>65.834000671643722</v>
      </c>
      <c r="C148" s="3">
        <f t="shared" si="3"/>
        <v>8.5092539039907464</v>
      </c>
      <c r="D148" s="3">
        <f t="shared" si="3"/>
        <v>20.066931085770946</v>
      </c>
      <c r="E148" s="3">
        <f t="shared" si="3"/>
        <v>41.61437535653166</v>
      </c>
      <c r="F148" s="3">
        <f t="shared" si="3"/>
        <v>49.077490774907751</v>
      </c>
      <c r="G148" s="3">
        <f t="shared" si="3"/>
        <v>70.783206481708817</v>
      </c>
      <c r="H148" s="3">
        <f t="shared" si="3"/>
        <v>116.84218988664684</v>
      </c>
      <c r="I148" s="3">
        <f t="shared" si="3"/>
        <v>177.9140359397766</v>
      </c>
      <c r="J148" s="3">
        <f t="shared" si="3"/>
        <v>232.94743429286609</v>
      </c>
      <c r="K148" s="3"/>
      <c r="M148">
        <v>79</v>
      </c>
    </row>
    <row r="149" spans="1:13" ht="13.5" customHeight="1" x14ac:dyDescent="0.15">
      <c r="A149">
        <v>80</v>
      </c>
      <c r="B149" s="3">
        <f t="shared" si="0"/>
        <v>60.655513360019157</v>
      </c>
      <c r="C149" s="3">
        <f t="shared" si="3"/>
        <v>6.8753859005556972</v>
      </c>
      <c r="D149" s="3">
        <f t="shared" si="3"/>
        <v>18.509965969859017</v>
      </c>
      <c r="E149" s="3">
        <f t="shared" si="3"/>
        <v>37.962908099780769</v>
      </c>
      <c r="F149" s="3">
        <f t="shared" si="3"/>
        <v>44.87294917967187</v>
      </c>
      <c r="G149" s="3">
        <f t="shared" si="3"/>
        <v>63.052355701834585</v>
      </c>
      <c r="H149" s="3">
        <f t="shared" si="3"/>
        <v>107.58701603441533</v>
      </c>
      <c r="I149" s="3">
        <f t="shared" si="3"/>
        <v>160.99476439790575</v>
      </c>
      <c r="J149" s="3">
        <f t="shared" si="3"/>
        <v>218.27357637842724</v>
      </c>
      <c r="K149" s="3"/>
      <c r="M149">
        <v>80</v>
      </c>
    </row>
    <row r="150" spans="1:13" ht="13.5" customHeight="1" x14ac:dyDescent="0.15">
      <c r="A150">
        <v>81</v>
      </c>
      <c r="B150" s="3">
        <f t="shared" si="0"/>
        <v>55.874418920294524</v>
      </c>
      <c r="C150" s="3">
        <f t="shared" si="3"/>
        <v>6.093540557185813</v>
      </c>
      <c r="D150" s="3">
        <f t="shared" si="3"/>
        <v>16.241413150147203</v>
      </c>
      <c r="E150" s="3">
        <f t="shared" si="3"/>
        <v>34.09284756914829</v>
      </c>
      <c r="F150" s="3">
        <f t="shared" si="3"/>
        <v>38.71031943476963</v>
      </c>
      <c r="G150" s="3">
        <f t="shared" si="3"/>
        <v>57.241915237013572</v>
      </c>
      <c r="H150" s="3">
        <f t="shared" si="3"/>
        <v>99.114977874446865</v>
      </c>
      <c r="I150" s="3">
        <f t="shared" si="3"/>
        <v>146.86480186480188</v>
      </c>
      <c r="J150" s="3">
        <f t="shared" si="3"/>
        <v>202.02150537634409</v>
      </c>
      <c r="K150" s="3"/>
      <c r="M150">
        <v>81</v>
      </c>
    </row>
    <row r="151" spans="1:13" ht="13.5" customHeight="1" x14ac:dyDescent="0.15">
      <c r="A151">
        <v>82</v>
      </c>
      <c r="B151" s="3">
        <f t="shared" si="0"/>
        <v>53.870068159032122</v>
      </c>
      <c r="C151" s="3">
        <f t="shared" si="3"/>
        <v>5.3606810009539885</v>
      </c>
      <c r="D151" s="3">
        <f t="shared" si="3"/>
        <v>13.655811742334205</v>
      </c>
      <c r="E151" s="3">
        <f t="shared" si="3"/>
        <v>31.430168986083498</v>
      </c>
      <c r="F151" s="3">
        <f t="shared" si="3"/>
        <v>35.94092995410098</v>
      </c>
      <c r="G151" s="3">
        <f t="shared" si="3"/>
        <v>52.457861044223883</v>
      </c>
      <c r="H151" s="3">
        <f t="shared" si="3"/>
        <v>93.63241678726483</v>
      </c>
      <c r="I151" s="3">
        <f t="shared" si="3"/>
        <v>144.55875628715134</v>
      </c>
      <c r="J151" s="3">
        <f t="shared" si="3"/>
        <v>199.50624057056646</v>
      </c>
      <c r="K151" s="3"/>
      <c r="M151">
        <v>82</v>
      </c>
    </row>
    <row r="152" spans="1:13" ht="13.5" customHeight="1" x14ac:dyDescent="0.15">
      <c r="A152">
        <v>83</v>
      </c>
      <c r="B152" s="3">
        <f t="shared" si="0"/>
        <v>51.907802783659598</v>
      </c>
      <c r="C152" s="3">
        <f t="shared" ref="C152:J161" si="4">+C26*100/C89</f>
        <v>4.6231603983945293</v>
      </c>
      <c r="D152" s="3">
        <f t="shared" si="4"/>
        <v>14.915332869403851</v>
      </c>
      <c r="E152" s="3">
        <f t="shared" si="4"/>
        <v>30.348851800727822</v>
      </c>
      <c r="F152" s="3">
        <f t="shared" si="4"/>
        <v>33.853252419880633</v>
      </c>
      <c r="G152" s="3">
        <f t="shared" si="4"/>
        <v>48.282863441234483</v>
      </c>
      <c r="H152" s="3">
        <f t="shared" si="4"/>
        <v>87.535014005602235</v>
      </c>
      <c r="I152" s="3">
        <f t="shared" si="4"/>
        <v>136.30679915150162</v>
      </c>
      <c r="J152" s="3">
        <f t="shared" si="4"/>
        <v>195.65846599131694</v>
      </c>
      <c r="K152" s="3"/>
      <c r="M152">
        <v>83</v>
      </c>
    </row>
    <row r="153" spans="1:13" ht="13.5" customHeight="1" x14ac:dyDescent="0.15">
      <c r="A153">
        <v>84</v>
      </c>
      <c r="B153" s="3">
        <f t="shared" si="0"/>
        <v>51.167297375972055</v>
      </c>
      <c r="C153" s="3">
        <f t="shared" si="4"/>
        <v>4.6143978267431329</v>
      </c>
      <c r="D153" s="3">
        <f t="shared" si="4"/>
        <v>14.971687429218573</v>
      </c>
      <c r="E153" s="3">
        <f t="shared" si="4"/>
        <v>29.851308112177676</v>
      </c>
      <c r="F153" s="3">
        <f t="shared" si="4"/>
        <v>33.206203915586066</v>
      </c>
      <c r="G153" s="3">
        <f t="shared" si="4"/>
        <v>46.77621819011754</v>
      </c>
      <c r="H153" s="3">
        <f t="shared" si="4"/>
        <v>85.494670675047828</v>
      </c>
      <c r="I153" s="3">
        <f t="shared" si="4"/>
        <v>131.57494844241833</v>
      </c>
      <c r="J153" s="3">
        <f t="shared" si="4"/>
        <v>187.47949009213681</v>
      </c>
      <c r="K153" s="3"/>
      <c r="M153">
        <v>84</v>
      </c>
    </row>
    <row r="154" spans="1:13" ht="13.5" customHeight="1" x14ac:dyDescent="0.15">
      <c r="A154">
        <v>85</v>
      </c>
      <c r="B154" s="3">
        <f t="shared" si="0"/>
        <v>48.392081040437589</v>
      </c>
      <c r="C154" s="3">
        <f t="shared" si="4"/>
        <v>4.1695408906261973</v>
      </c>
      <c r="D154" s="3">
        <f t="shared" si="4"/>
        <v>12.603075551593493</v>
      </c>
      <c r="E154" s="3">
        <f t="shared" si="4"/>
        <v>28.063733117570173</v>
      </c>
      <c r="F154" s="3">
        <f t="shared" si="4"/>
        <v>29.894206549118387</v>
      </c>
      <c r="G154" s="3">
        <f t="shared" si="4"/>
        <v>42.716149140020775</v>
      </c>
      <c r="H154" s="3">
        <f t="shared" si="4"/>
        <v>78.33355713710219</v>
      </c>
      <c r="I154" s="3">
        <f t="shared" si="4"/>
        <v>122.72822226864425</v>
      </c>
      <c r="J154" s="3">
        <f t="shared" si="4"/>
        <v>183.80847953216374</v>
      </c>
      <c r="K154" s="3"/>
      <c r="M154">
        <v>85</v>
      </c>
    </row>
    <row r="155" spans="1:13" ht="13.5" customHeight="1" x14ac:dyDescent="0.15">
      <c r="A155">
        <v>86</v>
      </c>
      <c r="B155" s="3">
        <f t="shared" si="0"/>
        <v>46.592478137944639</v>
      </c>
      <c r="C155" s="3">
        <f t="shared" si="4"/>
        <v>3.3813006212156957</v>
      </c>
      <c r="D155" s="3">
        <f t="shared" si="4"/>
        <v>11.21858900220797</v>
      </c>
      <c r="E155" s="3">
        <f t="shared" si="4"/>
        <v>26.390114739629304</v>
      </c>
      <c r="F155" s="3">
        <f t="shared" si="4"/>
        <v>28.605817452357073</v>
      </c>
      <c r="G155" s="3">
        <f t="shared" si="4"/>
        <v>40.491659350307287</v>
      </c>
      <c r="H155" s="3">
        <f t="shared" si="4"/>
        <v>72.317385312069305</v>
      </c>
      <c r="I155" s="3">
        <f t="shared" si="4"/>
        <v>117.68700689104165</v>
      </c>
      <c r="J155" s="3">
        <f t="shared" si="4"/>
        <v>176.42058686539357</v>
      </c>
      <c r="K155" s="3"/>
      <c r="M155">
        <v>86</v>
      </c>
    </row>
    <row r="156" spans="1:13" ht="13.5" customHeight="1" x14ac:dyDescent="0.15">
      <c r="A156">
        <v>87</v>
      </c>
      <c r="B156" s="3">
        <f t="shared" si="0"/>
        <v>46.208205195315053</v>
      </c>
      <c r="C156" s="3">
        <f t="shared" si="4"/>
        <v>2.9132464187992917</v>
      </c>
      <c r="D156" s="3">
        <f t="shared" si="4"/>
        <v>13.62781954887218</v>
      </c>
      <c r="E156" s="3">
        <f t="shared" si="4"/>
        <v>27.130681818181817</v>
      </c>
      <c r="F156" s="3">
        <f t="shared" si="4"/>
        <v>29.064785788923722</v>
      </c>
      <c r="G156" s="3">
        <f t="shared" si="4"/>
        <v>38.315694153602351</v>
      </c>
      <c r="H156" s="3">
        <f t="shared" si="4"/>
        <v>70.291400142146415</v>
      </c>
      <c r="I156" s="3">
        <f t="shared" si="4"/>
        <v>110.89553665296761</v>
      </c>
      <c r="J156" s="3">
        <f t="shared" si="4"/>
        <v>168.04300405110627</v>
      </c>
      <c r="K156" s="3">
        <f t="shared" ref="K156:K165" si="5">+K30*100/K93</f>
        <v>180.46811945117031</v>
      </c>
      <c r="M156">
        <v>87</v>
      </c>
    </row>
    <row r="157" spans="1:13" ht="13.5" customHeight="1" x14ac:dyDescent="0.15">
      <c r="A157">
        <v>88</v>
      </c>
      <c r="B157" s="3">
        <f t="shared" si="0"/>
        <v>44.270786672422076</v>
      </c>
      <c r="C157" s="3">
        <f t="shared" si="4"/>
        <v>2.8225974567437984</v>
      </c>
      <c r="D157" s="3">
        <f t="shared" si="4"/>
        <v>11.102123356926189</v>
      </c>
      <c r="E157" s="3">
        <f t="shared" si="4"/>
        <v>26.818899550589094</v>
      </c>
      <c r="F157" s="3">
        <f t="shared" si="4"/>
        <v>27.057922660394901</v>
      </c>
      <c r="G157" s="3">
        <f t="shared" si="4"/>
        <v>35.919431022313915</v>
      </c>
      <c r="H157" s="3">
        <f t="shared" si="4"/>
        <v>64.12897447380206</v>
      </c>
      <c r="I157" s="3">
        <f t="shared" si="4"/>
        <v>105.13711151736746</v>
      </c>
      <c r="J157" s="3">
        <f t="shared" si="4"/>
        <v>158.72190796514295</v>
      </c>
      <c r="K157" s="3">
        <f t="shared" si="5"/>
        <v>178.65296803652967</v>
      </c>
      <c r="M157">
        <v>88</v>
      </c>
    </row>
    <row r="158" spans="1:13" ht="13.5" customHeight="1" x14ac:dyDescent="0.15">
      <c r="A158">
        <v>89</v>
      </c>
      <c r="B158" s="3">
        <f t="shared" si="0"/>
        <v>43.09115248874285</v>
      </c>
      <c r="C158" s="3">
        <f t="shared" si="4"/>
        <v>2.5948275862068964</v>
      </c>
      <c r="D158" s="3">
        <f t="shared" si="4"/>
        <v>10.412926391382406</v>
      </c>
      <c r="E158" s="3">
        <f t="shared" si="4"/>
        <v>25.871537726838586</v>
      </c>
      <c r="F158" s="3">
        <f t="shared" si="4"/>
        <v>26.304634244142751</v>
      </c>
      <c r="G158" s="3">
        <f t="shared" si="4"/>
        <v>34.993779805100559</v>
      </c>
      <c r="H158" s="3">
        <f t="shared" si="4"/>
        <v>60.076726342710998</v>
      </c>
      <c r="I158" s="3">
        <f t="shared" si="4"/>
        <v>100.43580580493332</v>
      </c>
      <c r="J158" s="3">
        <f t="shared" si="4"/>
        <v>153.86360199606835</v>
      </c>
      <c r="K158" s="3">
        <f t="shared" si="5"/>
        <v>167.79842744817728</v>
      </c>
      <c r="M158">
        <v>89</v>
      </c>
    </row>
    <row r="159" spans="1:13" ht="13.5" customHeight="1" x14ac:dyDescent="0.15">
      <c r="A159">
        <v>90</v>
      </c>
      <c r="B159" s="3">
        <f t="shared" si="0"/>
        <v>41.922983577380471</v>
      </c>
      <c r="C159" s="3">
        <f t="shared" si="4"/>
        <v>2.3032458870609158</v>
      </c>
      <c r="D159" s="3">
        <f t="shared" si="4"/>
        <v>9.9101796407185621</v>
      </c>
      <c r="E159" s="3">
        <f t="shared" si="4"/>
        <v>25.078901227352425</v>
      </c>
      <c r="F159" s="3">
        <f t="shared" si="4"/>
        <v>24.458977407847801</v>
      </c>
      <c r="G159" s="3">
        <f t="shared" si="4"/>
        <v>32.70283975659229</v>
      </c>
      <c r="H159" s="3">
        <f t="shared" si="4"/>
        <v>56.493998736576124</v>
      </c>
      <c r="I159" s="3">
        <f t="shared" si="4"/>
        <v>96.157094594594597</v>
      </c>
      <c r="J159" s="3">
        <f t="shared" si="4"/>
        <v>148.80046811000585</v>
      </c>
      <c r="K159" s="3">
        <f t="shared" si="5"/>
        <v>167.71573604060913</v>
      </c>
      <c r="M159">
        <v>90</v>
      </c>
    </row>
    <row r="160" spans="1:13" ht="13.5" customHeight="1" x14ac:dyDescent="0.15">
      <c r="A160">
        <v>91</v>
      </c>
      <c r="B160" s="3">
        <f t="shared" si="0"/>
        <v>40.801979958562754</v>
      </c>
      <c r="C160" s="3">
        <f t="shared" si="4"/>
        <v>2.0772461650840031</v>
      </c>
      <c r="D160" s="3">
        <f t="shared" si="4"/>
        <v>9.6484138209739339</v>
      </c>
      <c r="E160" s="3">
        <f t="shared" si="4"/>
        <v>25.139568345323742</v>
      </c>
      <c r="F160" s="3">
        <f t="shared" si="4"/>
        <v>23.248563394057953</v>
      </c>
      <c r="G160" s="3">
        <f t="shared" si="4"/>
        <v>31.784077748124275</v>
      </c>
      <c r="H160" s="3">
        <f t="shared" si="4"/>
        <v>52.341427155599604</v>
      </c>
      <c r="I160" s="3">
        <f t="shared" si="4"/>
        <v>91.726036269430054</v>
      </c>
      <c r="J160" s="3">
        <f t="shared" si="4"/>
        <v>141.85084842435478</v>
      </c>
      <c r="K160" s="3">
        <f t="shared" si="5"/>
        <v>158.94904458598725</v>
      </c>
      <c r="M160">
        <v>91</v>
      </c>
    </row>
    <row r="161" spans="1:24" ht="13.5" customHeight="1" x14ac:dyDescent="0.15">
      <c r="A161">
        <v>92</v>
      </c>
      <c r="B161" s="3">
        <f t="shared" si="0"/>
        <v>39.337254523832485</v>
      </c>
      <c r="C161" s="3">
        <f t="shared" si="4"/>
        <v>2.0876240404418649</v>
      </c>
      <c r="D161" s="3">
        <f t="shared" si="4"/>
        <v>8.967165419783873</v>
      </c>
      <c r="E161" s="3">
        <f t="shared" si="4"/>
        <v>23.855678189254299</v>
      </c>
      <c r="F161" s="3">
        <f t="shared" si="4"/>
        <v>22.688708671241422</v>
      </c>
      <c r="G161" s="3">
        <f t="shared" si="4"/>
        <v>30.572091615376856</v>
      </c>
      <c r="H161" s="3">
        <f t="shared" si="4"/>
        <v>49.193989902062171</v>
      </c>
      <c r="I161" s="3">
        <f t="shared" si="4"/>
        <v>85.401858939311097</v>
      </c>
      <c r="J161" s="3">
        <f t="shared" si="4"/>
        <v>131.38127695089722</v>
      </c>
      <c r="K161" s="3">
        <f t="shared" si="5"/>
        <v>156.84273709483793</v>
      </c>
      <c r="M161">
        <v>92</v>
      </c>
    </row>
    <row r="162" spans="1:24" ht="13.5" customHeight="1" x14ac:dyDescent="0.15">
      <c r="A162">
        <v>93</v>
      </c>
      <c r="B162" s="3">
        <f t="shared" si="0"/>
        <v>38.021384373697543</v>
      </c>
      <c r="C162" s="3">
        <f t="shared" ref="C162:J171" si="6">+C36*100/C99</f>
        <v>2.0824336644114965</v>
      </c>
      <c r="D162" s="3">
        <f t="shared" si="6"/>
        <v>8.3216405828386399</v>
      </c>
      <c r="E162" s="3">
        <f t="shared" si="6"/>
        <v>23.588874924867493</v>
      </c>
      <c r="F162" s="3">
        <f t="shared" si="6"/>
        <v>21.694958036221365</v>
      </c>
      <c r="G162" s="3">
        <f t="shared" si="6"/>
        <v>28.244236128705346</v>
      </c>
      <c r="H162" s="3">
        <f t="shared" si="6"/>
        <v>46.272601669970562</v>
      </c>
      <c r="I162" s="3">
        <f t="shared" si="6"/>
        <v>81.043872919818455</v>
      </c>
      <c r="J162" s="3">
        <f t="shared" si="6"/>
        <v>125.93695034501421</v>
      </c>
      <c r="K162" s="3">
        <f t="shared" si="5"/>
        <v>147.22775092408301</v>
      </c>
      <c r="M162">
        <v>93</v>
      </c>
    </row>
    <row r="163" spans="1:24" ht="13.5" customHeight="1" x14ac:dyDescent="0.15">
      <c r="A163">
        <v>94</v>
      </c>
      <c r="B163" s="3">
        <f t="shared" si="0"/>
        <v>35.662299854439595</v>
      </c>
      <c r="C163" s="3">
        <f t="shared" si="6"/>
        <v>1.8467718232585482</v>
      </c>
      <c r="D163" s="3">
        <f t="shared" si="6"/>
        <v>7.285440396977557</v>
      </c>
      <c r="E163" s="3">
        <f t="shared" si="6"/>
        <v>20.527387715725158</v>
      </c>
      <c r="F163" s="3">
        <f t="shared" si="6"/>
        <v>20.622666582294499</v>
      </c>
      <c r="G163" s="3">
        <f t="shared" si="6"/>
        <v>26.517719568567028</v>
      </c>
      <c r="H163" s="3">
        <f t="shared" si="6"/>
        <v>43.302199101442419</v>
      </c>
      <c r="I163" s="3">
        <f t="shared" si="6"/>
        <v>74.533106960950761</v>
      </c>
      <c r="J163" s="3">
        <f t="shared" si="6"/>
        <v>115.40979313956534</v>
      </c>
      <c r="K163" s="3">
        <f t="shared" si="5"/>
        <v>136.54208120462491</v>
      </c>
      <c r="M163">
        <v>94</v>
      </c>
    </row>
    <row r="164" spans="1:24" ht="13.5" customHeight="1" x14ac:dyDescent="0.15">
      <c r="A164">
        <v>95</v>
      </c>
      <c r="B164" s="3">
        <f t="shared" si="0"/>
        <v>34.306238004603046</v>
      </c>
      <c r="C164" s="3">
        <f t="shared" si="6"/>
        <v>1.7035775127768313</v>
      </c>
      <c r="D164" s="3">
        <f t="shared" si="6"/>
        <v>7.0238788584740828</v>
      </c>
      <c r="E164" s="3">
        <f t="shared" si="6"/>
        <v>20.841705131686126</v>
      </c>
      <c r="F164" s="3">
        <f t="shared" si="6"/>
        <v>20.336081166772352</v>
      </c>
      <c r="G164" s="3">
        <f t="shared" si="6"/>
        <v>25.986707566462169</v>
      </c>
      <c r="H164" s="3">
        <f t="shared" si="6"/>
        <v>41.276645722003643</v>
      </c>
      <c r="I164" s="3">
        <f t="shared" si="6"/>
        <v>66.542697754255471</v>
      </c>
      <c r="J164" s="3">
        <f t="shared" si="6"/>
        <v>105.75794621026895</v>
      </c>
      <c r="K164" s="3">
        <f t="shared" si="5"/>
        <v>125.51224387806097</v>
      </c>
      <c r="M164">
        <v>95</v>
      </c>
    </row>
    <row r="165" spans="1:24" ht="13.5" customHeight="1" x14ac:dyDescent="0.15">
      <c r="A165">
        <v>96</v>
      </c>
      <c r="B165" s="3">
        <f t="shared" si="0"/>
        <v>33.744358990656579</v>
      </c>
      <c r="C165" s="3">
        <f t="shared" si="6"/>
        <v>1.5290053845372347</v>
      </c>
      <c r="D165" s="3">
        <f t="shared" si="6"/>
        <v>6.7572485745481012</v>
      </c>
      <c r="E165" s="3">
        <f t="shared" si="6"/>
        <v>20.188186095138526</v>
      </c>
      <c r="F165" s="3">
        <f t="shared" si="6"/>
        <v>20.682005450972934</v>
      </c>
      <c r="G165" s="3">
        <f t="shared" si="6"/>
        <v>26.454090656425286</v>
      </c>
      <c r="H165" s="3">
        <f t="shared" si="6"/>
        <v>40.214380344453815</v>
      </c>
      <c r="I165" s="3">
        <f t="shared" si="6"/>
        <v>64.161727349703639</v>
      </c>
      <c r="J165" s="3">
        <f t="shared" si="6"/>
        <v>101.14613180515759</v>
      </c>
      <c r="K165" s="3">
        <f t="shared" si="5"/>
        <v>122.66829865361078</v>
      </c>
      <c r="M165">
        <v>96</v>
      </c>
    </row>
    <row r="166" spans="1:24" ht="13.5" customHeight="1" x14ac:dyDescent="0.15">
      <c r="A166">
        <v>97</v>
      </c>
      <c r="B166" s="3">
        <f t="shared" ref="B166:K166" si="7">+B40*100/B103</f>
        <v>33.856189464673527</v>
      </c>
      <c r="C166" s="3">
        <f t="shared" si="7"/>
        <v>1.4716513477228133</v>
      </c>
      <c r="D166" s="3">
        <f t="shared" si="7"/>
        <v>6.4334790755777638</v>
      </c>
      <c r="E166" s="3">
        <f t="shared" si="7"/>
        <v>20.202284875799183</v>
      </c>
      <c r="F166" s="3">
        <f t="shared" si="7"/>
        <v>19.917890022393632</v>
      </c>
      <c r="G166" s="3">
        <f t="shared" si="7"/>
        <v>25.069711159046665</v>
      </c>
      <c r="H166" s="3">
        <f t="shared" si="7"/>
        <v>38.246083969021136</v>
      </c>
      <c r="I166" s="3">
        <f t="shared" si="7"/>
        <v>61.210186662965789</v>
      </c>
      <c r="J166" s="3">
        <f t="shared" si="7"/>
        <v>102.93782737417445</v>
      </c>
      <c r="K166" s="3">
        <f t="shared" si="7"/>
        <v>132.8330206378987</v>
      </c>
      <c r="M166">
        <v>97</v>
      </c>
    </row>
    <row r="167" spans="1:24" ht="13.5" customHeight="1" x14ac:dyDescent="0.15">
      <c r="A167">
        <v>98</v>
      </c>
      <c r="B167" s="22">
        <f t="shared" ref="B167:K167" si="8">+B41*100/B104</f>
        <v>34.799108201698211</v>
      </c>
      <c r="C167" s="22">
        <f t="shared" si="8"/>
        <v>1.4428878744949893</v>
      </c>
      <c r="D167" s="22">
        <f t="shared" si="8"/>
        <v>6.532598949660561</v>
      </c>
      <c r="E167" s="22">
        <f t="shared" si="8"/>
        <v>20.870847154214712</v>
      </c>
      <c r="F167" s="22">
        <f t="shared" si="8"/>
        <v>19.763813253380651</v>
      </c>
      <c r="G167" s="22">
        <f t="shared" si="8"/>
        <v>24.803214619915231</v>
      </c>
      <c r="H167" s="22">
        <f t="shared" si="8"/>
        <v>37.737430167597765</v>
      </c>
      <c r="I167" s="22">
        <f t="shared" si="8"/>
        <v>61.27127951674904</v>
      </c>
      <c r="J167" s="22">
        <f t="shared" si="8"/>
        <v>93.852503529922885</v>
      </c>
      <c r="K167" s="22">
        <f t="shared" si="8"/>
        <v>128.82538253825382</v>
      </c>
      <c r="M167">
        <v>98</v>
      </c>
      <c r="N167" s="3">
        <f t="shared" ref="N167:V167" si="9">+N41*100/N104</f>
        <v>32.44074443021362</v>
      </c>
      <c r="O167" s="3">
        <f t="shared" si="9"/>
        <v>1.4376410094968257</v>
      </c>
      <c r="P167" s="3">
        <f t="shared" si="9"/>
        <v>6.4685538619187906</v>
      </c>
      <c r="Q167" s="3">
        <f t="shared" si="9"/>
        <v>20.681303638182488</v>
      </c>
      <c r="R167" s="3">
        <f t="shared" si="9"/>
        <v>19.366089457259989</v>
      </c>
      <c r="S167" s="3">
        <f t="shared" si="9"/>
        <v>23.515164859360379</v>
      </c>
      <c r="T167" s="3">
        <f t="shared" si="9"/>
        <v>35.296089385474858</v>
      </c>
      <c r="U167" s="3">
        <f t="shared" si="9"/>
        <v>56.32207578253707</v>
      </c>
      <c r="V167" s="3">
        <f t="shared" si="9"/>
        <v>93.852503529922885</v>
      </c>
      <c r="W167" s="3">
        <f>+W41*100/W104</f>
        <v>128.82538253825382</v>
      </c>
    </row>
    <row r="168" spans="1:24" ht="13.5" customHeight="1" x14ac:dyDescent="0.15">
      <c r="A168">
        <v>99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M168">
        <v>99</v>
      </c>
      <c r="N168" s="3">
        <f t="shared" ref="N168:W168" si="10">+N42*100/N105</f>
        <v>34.58787869219961</v>
      </c>
      <c r="O168" s="3">
        <f t="shared" si="10"/>
        <v>1.493970760857966</v>
      </c>
      <c r="P168" s="3">
        <f t="shared" si="10"/>
        <v>7.0019595035924231</v>
      </c>
      <c r="Q168" s="3">
        <f t="shared" si="10"/>
        <v>21.314878892733564</v>
      </c>
      <c r="R168" s="3">
        <f t="shared" si="10"/>
        <v>20.609858985175364</v>
      </c>
      <c r="S168" s="3">
        <f t="shared" si="10"/>
        <v>24.318090075543509</v>
      </c>
      <c r="T168" s="3">
        <f t="shared" si="10"/>
        <v>35.588972431077693</v>
      </c>
      <c r="U168" s="3">
        <f t="shared" si="10"/>
        <v>55.661477264933815</v>
      </c>
      <c r="V168" s="3">
        <f t="shared" si="10"/>
        <v>102.21463313670702</v>
      </c>
      <c r="W168" s="3">
        <f t="shared" si="10"/>
        <v>146.41294838145231</v>
      </c>
    </row>
    <row r="169" spans="1:24" ht="13.5" customHeight="1" x14ac:dyDescent="0.15">
      <c r="A169" s="5" t="s">
        <v>16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M169" s="5" t="s">
        <v>16</v>
      </c>
      <c r="N169" s="3">
        <f t="shared" ref="N169:W169" si="11">+N43*100/N106</f>
        <v>31.030814929206816</v>
      </c>
      <c r="O169" s="3">
        <f t="shared" si="11"/>
        <v>1.1925411968777104</v>
      </c>
      <c r="P169" s="3">
        <f t="shared" si="11"/>
        <v>5.7025122956267449</v>
      </c>
      <c r="Q169" s="3">
        <f t="shared" si="11"/>
        <v>20.088808948344667</v>
      </c>
      <c r="R169" s="3">
        <f t="shared" si="11"/>
        <v>19.633445136559654</v>
      </c>
      <c r="S169" s="3">
        <f t="shared" si="11"/>
        <v>21.619041937600667</v>
      </c>
      <c r="T169" s="3">
        <f t="shared" si="11"/>
        <v>31.260009298961617</v>
      </c>
      <c r="U169" s="3">
        <f t="shared" si="11"/>
        <v>46.125779487859894</v>
      </c>
      <c r="V169" s="3">
        <f t="shared" si="11"/>
        <v>87.246005129216812</v>
      </c>
      <c r="W169" s="3">
        <f t="shared" si="11"/>
        <v>130.12586276898091</v>
      </c>
    </row>
    <row r="170" spans="1:24" ht="13.5" customHeight="1" x14ac:dyDescent="0.15">
      <c r="A170" s="5" t="s">
        <v>17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M170" s="5" t="s">
        <v>17</v>
      </c>
      <c r="N170" s="3">
        <f t="shared" ref="N170:W170" si="12">+N44*100/N107</f>
        <v>27.880211483922665</v>
      </c>
      <c r="O170" s="3">
        <f t="shared" si="12"/>
        <v>1.0665645681780889</v>
      </c>
      <c r="P170" s="3">
        <f t="shared" si="12"/>
        <v>5.7278911564625847</v>
      </c>
      <c r="Q170" s="3">
        <f t="shared" si="12"/>
        <v>17.632931188561216</v>
      </c>
      <c r="R170" s="3">
        <f t="shared" si="12"/>
        <v>17.538497029817176</v>
      </c>
      <c r="S170" s="3">
        <f t="shared" si="12"/>
        <v>18.497819812073942</v>
      </c>
      <c r="T170" s="3">
        <f t="shared" si="12"/>
        <v>27.826311708451797</v>
      </c>
      <c r="U170" s="3">
        <f t="shared" si="12"/>
        <v>40.921355709114842</v>
      </c>
      <c r="V170" s="3">
        <f t="shared" si="12"/>
        <v>75.319351763584365</v>
      </c>
      <c r="W170" s="3">
        <f t="shared" si="12"/>
        <v>120.78023916879043</v>
      </c>
    </row>
    <row r="171" spans="1:24" ht="13.5" customHeight="1" x14ac:dyDescent="0.15">
      <c r="A171" s="6" t="s">
        <v>12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M171" s="6" t="s">
        <v>12</v>
      </c>
      <c r="N171" s="3">
        <f t="shared" ref="N171:W171" si="13">+N45*100/N108</f>
        <v>25.760583827049082</v>
      </c>
      <c r="O171" s="3">
        <f t="shared" si="13"/>
        <v>0.85625897690862884</v>
      </c>
      <c r="P171" s="3">
        <f t="shared" si="13"/>
        <v>4.6566583263830967</v>
      </c>
      <c r="Q171" s="3">
        <f t="shared" si="13"/>
        <v>16.52812016281603</v>
      </c>
      <c r="R171" s="3">
        <f t="shared" si="13"/>
        <v>16.013292779092037</v>
      </c>
      <c r="S171" s="3">
        <f t="shared" si="13"/>
        <v>16.823426134938551</v>
      </c>
      <c r="T171" s="3">
        <f t="shared" si="13"/>
        <v>24.744355048014533</v>
      </c>
      <c r="U171" s="3">
        <f t="shared" si="13"/>
        <v>35.79736365986043</v>
      </c>
      <c r="V171" s="3">
        <f t="shared" si="13"/>
        <v>70.102903344358694</v>
      </c>
      <c r="W171" s="3">
        <f t="shared" si="13"/>
        <v>111.56424581005587</v>
      </c>
    </row>
    <row r="172" spans="1:24" ht="13.5" customHeight="1" x14ac:dyDescent="0.15">
      <c r="A172" s="6" t="s">
        <v>20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M172" s="38" t="s">
        <v>20</v>
      </c>
      <c r="N172" s="3">
        <f t="shared" ref="N172:X172" si="14">+N46*100/N109</f>
        <v>24.790979399619179</v>
      </c>
      <c r="O172" s="3">
        <f t="shared" si="14"/>
        <v>0.70929907846970119</v>
      </c>
      <c r="P172" s="3">
        <f t="shared" si="14"/>
        <v>4.3733028440760329</v>
      </c>
      <c r="Q172" s="3">
        <f t="shared" si="14"/>
        <v>16.492779251399941</v>
      </c>
      <c r="R172" s="3">
        <f t="shared" si="14"/>
        <v>15.427376300291705</v>
      </c>
      <c r="S172" s="3">
        <f t="shared" si="14"/>
        <v>15.562452495566253</v>
      </c>
      <c r="T172" s="3">
        <f t="shared" si="14"/>
        <v>23.082938018036803</v>
      </c>
      <c r="U172" s="3">
        <f t="shared" si="14"/>
        <v>32.675536316761089</v>
      </c>
      <c r="V172" s="3">
        <f t="shared" si="14"/>
        <v>64.792110874200432</v>
      </c>
      <c r="W172" s="28">
        <f t="shared" si="14"/>
        <v>110.67796610169492</v>
      </c>
      <c r="X172" s="28">
        <f t="shared" si="14"/>
        <v>114.82277121374865</v>
      </c>
    </row>
    <row r="173" spans="1:24" ht="13.5" customHeight="1" x14ac:dyDescent="0.15">
      <c r="A173" s="6" t="s">
        <v>24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M173" s="38" t="s">
        <v>24</v>
      </c>
      <c r="N173" s="3">
        <f t="shared" ref="N173:X173" si="15">+N47*100000/N110</f>
        <v>23.288268414178564</v>
      </c>
      <c r="O173" s="3">
        <f t="shared" si="15"/>
        <v>0.65976440320672569</v>
      </c>
      <c r="P173" s="3">
        <f t="shared" si="15"/>
        <v>4.466638939980796</v>
      </c>
      <c r="Q173" s="3">
        <f t="shared" si="15"/>
        <v>15.339591741134681</v>
      </c>
      <c r="R173" s="3">
        <f t="shared" si="15"/>
        <v>14.815738318347686</v>
      </c>
      <c r="S173" s="3">
        <f t="shared" si="15"/>
        <v>14.883197352338826</v>
      </c>
      <c r="T173" s="3">
        <f t="shared" si="15"/>
        <v>21.071782338572909</v>
      </c>
      <c r="U173" s="3">
        <f t="shared" si="15"/>
        <v>29.107890057448696</v>
      </c>
      <c r="V173" s="3">
        <f t="shared" si="15"/>
        <v>59.089746368094964</v>
      </c>
      <c r="W173" s="28">
        <f t="shared" si="15"/>
        <v>103.14964795059477</v>
      </c>
      <c r="X173" s="28">
        <f t="shared" si="15"/>
        <v>109.84241157242955</v>
      </c>
    </row>
    <row r="174" spans="1:24" ht="13.5" customHeight="1" x14ac:dyDescent="0.15">
      <c r="A174" s="6" t="s">
        <v>28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M174" s="38" t="s">
        <v>28</v>
      </c>
      <c r="N174" s="3">
        <f t="shared" ref="N174:X174" si="16">+N48*100000/N111</f>
        <v>22.194913015910835</v>
      </c>
      <c r="O174" s="3">
        <f t="shared" si="16"/>
        <v>0.67242538664459728</v>
      </c>
      <c r="P174" s="3">
        <f t="shared" si="16"/>
        <v>4.3514900789090634</v>
      </c>
      <c r="Q174" s="3">
        <f t="shared" si="16"/>
        <v>15.447252629319596</v>
      </c>
      <c r="R174" s="3">
        <f t="shared" si="16"/>
        <v>14.931783447306477</v>
      </c>
      <c r="S174" s="3">
        <f t="shared" si="16"/>
        <v>14.041923363989424</v>
      </c>
      <c r="T174" s="3">
        <f t="shared" si="16"/>
        <v>18.925430919088118</v>
      </c>
      <c r="U174" s="3">
        <f t="shared" si="16"/>
        <v>26.217750289255449</v>
      </c>
      <c r="V174" s="3">
        <f t="shared" si="16"/>
        <v>50.899912380125564</v>
      </c>
      <c r="W174" s="28">
        <f t="shared" si="16"/>
        <v>95.138989431012021</v>
      </c>
      <c r="X174" s="28">
        <f t="shared" si="16"/>
        <v>100.2584439889493</v>
      </c>
    </row>
    <row r="175" spans="1:24" ht="13.5" customHeight="1" x14ac:dyDescent="0.15">
      <c r="A175" s="6" t="s">
        <v>30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M175" s="38" t="s">
        <v>30</v>
      </c>
      <c r="N175" s="3">
        <f t="shared" ref="N175:V175" si="17">+N49*100000/N112</f>
        <v>20.649683950419782</v>
      </c>
      <c r="O175" s="3">
        <f t="shared" si="17"/>
        <v>0.48753194409671946</v>
      </c>
      <c r="P175" s="3">
        <f t="shared" si="17"/>
        <v>3.3312583018770705</v>
      </c>
      <c r="Q175" s="3">
        <f t="shared" si="17"/>
        <v>13.499437088480034</v>
      </c>
      <c r="R175" s="3">
        <f t="shared" si="17"/>
        <v>12.777309781567212</v>
      </c>
      <c r="S175" s="3">
        <f t="shared" si="17"/>
        <v>12.993830131409915</v>
      </c>
      <c r="T175" s="3">
        <f t="shared" si="17"/>
        <v>17.334963457315041</v>
      </c>
      <c r="U175" s="3">
        <f t="shared" si="17"/>
        <v>24.335355275574592</v>
      </c>
      <c r="V175" s="3">
        <f t="shared" si="17"/>
        <v>49.964499768988823</v>
      </c>
      <c r="W175" s="28">
        <f t="shared" ref="W175:X187" si="18">+W49*100000/W112</f>
        <v>91.990470144537568</v>
      </c>
      <c r="X175" s="28">
        <f t="shared" si="18"/>
        <v>97.872697934539616</v>
      </c>
    </row>
    <row r="176" spans="1:24" ht="13.5" customHeight="1" x14ac:dyDescent="0.15">
      <c r="A176" s="6" t="s">
        <v>32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M176" s="38" t="s">
        <v>32</v>
      </c>
      <c r="N176" s="3">
        <f t="shared" ref="N176:V176" si="19">+N50*100000/N113</f>
        <v>19.8096914072554</v>
      </c>
      <c r="O176" s="3">
        <f t="shared" si="19"/>
        <v>0.5320212917234084</v>
      </c>
      <c r="P176" s="3">
        <f t="shared" si="19"/>
        <v>3.1998028539375962</v>
      </c>
      <c r="Q176" s="3">
        <f t="shared" si="19"/>
        <v>12.798507390705636</v>
      </c>
      <c r="R176" s="3">
        <f t="shared" si="19"/>
        <v>12.283183581917898</v>
      </c>
      <c r="S176" s="3">
        <f t="shared" si="19"/>
        <v>12.129402863542024</v>
      </c>
      <c r="T176" s="3">
        <f t="shared" si="19"/>
        <v>16.419383181931472</v>
      </c>
      <c r="U176" s="3">
        <f t="shared" si="19"/>
        <v>22.647475128394447</v>
      </c>
      <c r="V176" s="3">
        <f t="shared" si="19"/>
        <v>45.318710901700598</v>
      </c>
      <c r="W176" s="28">
        <f t="shared" si="18"/>
        <v>90.294247350458818</v>
      </c>
      <c r="X176" s="28">
        <f t="shared" si="18"/>
        <v>91.714071360256312</v>
      </c>
    </row>
    <row r="177" spans="1:24" ht="13.5" customHeight="1" x14ac:dyDescent="0.15">
      <c r="A177" s="6" t="s">
        <v>49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M177" s="38" t="s">
        <v>49</v>
      </c>
      <c r="N177" s="3">
        <f t="shared" ref="N177:V177" si="20">+N51*100000/N114</f>
        <v>19.390366713888788</v>
      </c>
      <c r="O177" s="3">
        <f t="shared" si="20"/>
        <v>0.5530897456229642</v>
      </c>
      <c r="P177" s="3">
        <f t="shared" si="20"/>
        <v>3.1030592590089445</v>
      </c>
      <c r="Q177" s="3">
        <f t="shared" si="20"/>
        <v>12.371732349277282</v>
      </c>
      <c r="R177" s="3">
        <f t="shared" si="20"/>
        <v>11.567157400094322</v>
      </c>
      <c r="S177" s="3">
        <f t="shared" si="20"/>
        <v>11.84242275830721</v>
      </c>
      <c r="T177" s="3">
        <f t="shared" si="20"/>
        <v>15.764997345602549</v>
      </c>
      <c r="U177" s="3">
        <f t="shared" si="20"/>
        <v>21.701751459000103</v>
      </c>
      <c r="V177" s="3">
        <f t="shared" si="20"/>
        <v>43.623898188581592</v>
      </c>
      <c r="W177" s="28">
        <f t="shared" si="18"/>
        <v>87.201079592685119</v>
      </c>
      <c r="X177" s="28">
        <f t="shared" si="18"/>
        <v>89.833573540497369</v>
      </c>
    </row>
    <row r="178" spans="1:24" ht="13.5" customHeight="1" x14ac:dyDescent="0.15">
      <c r="A178" s="6" t="s">
        <v>51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M178" s="38" t="s">
        <v>51</v>
      </c>
      <c r="N178" s="3">
        <f t="shared" ref="N178:V178" si="21">+N52*100000/N115</f>
        <v>18.95544041805114</v>
      </c>
      <c r="O178" s="3">
        <f t="shared" si="21"/>
        <v>0.42913421584098987</v>
      </c>
      <c r="P178" s="3">
        <f t="shared" si="21"/>
        <v>3.3560574616261976</v>
      </c>
      <c r="Q178" s="3">
        <f t="shared" si="21"/>
        <v>11.785960028877337</v>
      </c>
      <c r="R178" s="3">
        <f t="shared" si="21"/>
        <v>11.471602893750068</v>
      </c>
      <c r="S178" s="3">
        <f t="shared" si="21"/>
        <v>11.257159602265718</v>
      </c>
      <c r="T178" s="3">
        <f t="shared" si="21"/>
        <v>14.674485709949071</v>
      </c>
      <c r="U178" s="3">
        <f t="shared" si="21"/>
        <v>20.507855407595592</v>
      </c>
      <c r="V178" s="3">
        <f t="shared" si="21"/>
        <v>40.461954798148845</v>
      </c>
      <c r="W178" s="28">
        <f t="shared" si="18"/>
        <v>86.792245402180797</v>
      </c>
      <c r="X178" s="28">
        <f t="shared" si="18"/>
        <v>95.729112930273416</v>
      </c>
    </row>
    <row r="179" spans="1:24" ht="13.5" customHeight="1" x14ac:dyDescent="0.15">
      <c r="A179" s="6">
        <v>10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M179" s="54" t="s">
        <v>53</v>
      </c>
      <c r="N179" s="3">
        <f t="shared" ref="N179:V179" si="22">+N53*100000/N116</f>
        <v>18.164709189729493</v>
      </c>
      <c r="O179" s="3">
        <f t="shared" si="22"/>
        <v>0.52983759584702572</v>
      </c>
      <c r="P179" s="3">
        <f t="shared" si="22"/>
        <v>4.173317371641394</v>
      </c>
      <c r="Q179" s="3">
        <f t="shared" si="22"/>
        <v>10.923909564821598</v>
      </c>
      <c r="R179" s="3">
        <f t="shared" si="22"/>
        <v>10.744088234636122</v>
      </c>
      <c r="S179" s="3">
        <f t="shared" si="22"/>
        <v>10.604721626057316</v>
      </c>
      <c r="T179" s="3">
        <f t="shared" si="22"/>
        <v>13.399332193577456</v>
      </c>
      <c r="U179" s="3">
        <f t="shared" si="22"/>
        <v>19.927136233164052</v>
      </c>
      <c r="V179" s="3">
        <f t="shared" si="22"/>
        <v>38.776823867910629</v>
      </c>
      <c r="W179" s="28">
        <f t="shared" si="18"/>
        <v>82.572175394284713</v>
      </c>
      <c r="X179" s="28">
        <f t="shared" si="18"/>
        <v>94.938099772910405</v>
      </c>
    </row>
    <row r="180" spans="1:24" x14ac:dyDescent="0.15">
      <c r="A180">
        <v>11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M180" s="51">
        <v>11</v>
      </c>
      <c r="N180" s="3">
        <f t="shared" ref="N180:V180" si="23">+N54*100000/N117</f>
        <v>17.747441319905718</v>
      </c>
      <c r="O180" s="3">
        <f t="shared" si="23"/>
        <v>0.50283861376732619</v>
      </c>
      <c r="P180" s="3">
        <f t="shared" si="23"/>
        <v>2.5841953901904602</v>
      </c>
      <c r="Q180" s="3">
        <f t="shared" si="23"/>
        <v>10.427385950742117</v>
      </c>
      <c r="R180" s="3">
        <f t="shared" si="23"/>
        <v>9.6492085823588312</v>
      </c>
      <c r="S180" s="3">
        <f t="shared" si="23"/>
        <v>10.531901534822111</v>
      </c>
      <c r="T180" s="3">
        <f t="shared" si="23"/>
        <v>12.838762561341277</v>
      </c>
      <c r="U180" s="3">
        <f t="shared" si="23"/>
        <v>17.477288582534033</v>
      </c>
      <c r="V180" s="3">
        <f t="shared" si="23"/>
        <v>36.580493030009137</v>
      </c>
      <c r="W180" s="61">
        <f t="shared" si="18"/>
        <v>82.834272177938743</v>
      </c>
      <c r="X180" s="61">
        <f t="shared" si="18"/>
        <v>99.054143603606349</v>
      </c>
    </row>
    <row r="181" spans="1:24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M181" s="51">
        <v>12</v>
      </c>
      <c r="N181" s="3">
        <f t="shared" ref="N181:V181" si="24">+N55*100000/N118</f>
        <v>16.690568012817742</v>
      </c>
      <c r="O181" s="3">
        <f t="shared" si="24"/>
        <v>0.38073329958706753</v>
      </c>
      <c r="P181" s="3">
        <f t="shared" si="24"/>
        <v>2.7274701870978428</v>
      </c>
      <c r="Q181" s="3">
        <f t="shared" si="24"/>
        <v>9.6694308376317135</v>
      </c>
      <c r="R181" s="3">
        <f t="shared" si="24"/>
        <v>8.8562064474458051</v>
      </c>
      <c r="S181" s="3">
        <f t="shared" si="24"/>
        <v>9.0529376754466391</v>
      </c>
      <c r="T181" s="3">
        <f t="shared" si="24"/>
        <v>11.483090014439266</v>
      </c>
      <c r="U181" s="3">
        <f t="shared" si="24"/>
        <v>16.325055485947633</v>
      </c>
      <c r="V181" s="3">
        <f t="shared" si="24"/>
        <v>33.663526495796127</v>
      </c>
      <c r="W181" s="61">
        <f t="shared" si="18"/>
        <v>77.621503355682961</v>
      </c>
      <c r="X181" s="61">
        <f t="shared" si="18"/>
        <v>97.137837544166956</v>
      </c>
    </row>
    <row r="182" spans="1:24" x14ac:dyDescent="0.15">
      <c r="A182" t="s">
        <v>11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51">
        <v>13</v>
      </c>
      <c r="N182" s="3">
        <f t="shared" ref="N182:V182" si="25">+N56*100000/N119</f>
        <v>16.100056995537216</v>
      </c>
      <c r="O182" s="3">
        <f t="shared" si="25"/>
        <v>0.40267935521517356</v>
      </c>
      <c r="P182" s="3">
        <f t="shared" si="25"/>
        <v>2.7285558250119273</v>
      </c>
      <c r="Q182" s="3">
        <f t="shared" si="25"/>
        <v>9.147814532802526</v>
      </c>
      <c r="R182" s="3">
        <f t="shared" si="25"/>
        <v>7.8941557353289182</v>
      </c>
      <c r="S182" s="3">
        <f t="shared" si="25"/>
        <v>8.2774160496552014</v>
      </c>
      <c r="T182" s="3">
        <f t="shared" si="25"/>
        <v>10.766003405419431</v>
      </c>
      <c r="U182" s="3">
        <f t="shared" si="25"/>
        <v>15.425626130411716</v>
      </c>
      <c r="V182" s="3">
        <f t="shared" si="25"/>
        <v>31.364633544299288</v>
      </c>
      <c r="W182" s="61">
        <f t="shared" si="18"/>
        <v>76.174499961756652</v>
      </c>
      <c r="X182" s="61">
        <f t="shared" si="18"/>
        <v>95.578472901457474</v>
      </c>
    </row>
    <row r="183" spans="1:24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M183" s="51">
        <v>14</v>
      </c>
      <c r="N183" s="3">
        <f t="shared" ref="N183:V183" si="26">+N57*100000/N120</f>
        <v>15.434816566352687</v>
      </c>
      <c r="O183" s="3">
        <f t="shared" si="26"/>
        <v>0.3018495430336729</v>
      </c>
      <c r="P183" s="3">
        <f t="shared" si="26"/>
        <v>2.7974836634447313</v>
      </c>
      <c r="Q183" s="3">
        <f t="shared" si="26"/>
        <v>9.2231270064959379</v>
      </c>
      <c r="R183" s="3">
        <f t="shared" si="26"/>
        <v>7.6533023069903772</v>
      </c>
      <c r="S183" s="3">
        <f t="shared" si="26"/>
        <v>7.8254298755892506</v>
      </c>
      <c r="T183" s="3">
        <f t="shared" si="26"/>
        <v>9.8022813806377354</v>
      </c>
      <c r="U183" s="3">
        <f t="shared" si="26"/>
        <v>14.321015403556233</v>
      </c>
      <c r="V183" s="3">
        <f t="shared" si="26"/>
        <v>28.37131600786001</v>
      </c>
      <c r="W183" s="61">
        <f t="shared" si="18"/>
        <v>72.532709062012003</v>
      </c>
      <c r="X183" s="61">
        <f t="shared" si="18"/>
        <v>95.716358001316607</v>
      </c>
    </row>
    <row r="184" spans="1:24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51">
        <v>15</v>
      </c>
      <c r="N184" s="3">
        <f t="shared" ref="N184:V184" si="27">+N58*100000/N121</f>
        <v>14.381244591298875</v>
      </c>
      <c r="O184" s="3">
        <f t="shared" si="27"/>
        <v>0.3214744963566224</v>
      </c>
      <c r="P184" s="3">
        <f t="shared" si="27"/>
        <v>2.7662282562579552</v>
      </c>
      <c r="Q184" s="3">
        <f t="shared" si="27"/>
        <v>8.9538957788777047</v>
      </c>
      <c r="R184" s="3">
        <f t="shared" si="27"/>
        <v>7.1275053084054072</v>
      </c>
      <c r="S184" s="3">
        <f t="shared" si="27"/>
        <v>7.4586028389751675</v>
      </c>
      <c r="T184" s="3">
        <f t="shared" si="27"/>
        <v>8.807901685301692</v>
      </c>
      <c r="U184" s="3">
        <f t="shared" si="27"/>
        <v>13.132842684243929</v>
      </c>
      <c r="V184" s="3">
        <f t="shared" si="27"/>
        <v>26.945420641181954</v>
      </c>
      <c r="W184" s="61">
        <f t="shared" si="18"/>
        <v>65.997219601807259</v>
      </c>
      <c r="X184" s="61">
        <f t="shared" si="18"/>
        <v>91.962149227757237</v>
      </c>
    </row>
    <row r="185" spans="1:24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51">
        <v>16</v>
      </c>
      <c r="N185" s="3">
        <f t="shared" ref="N185:V185" si="28">+N59*100000/N122</f>
        <v>13.88530300118239</v>
      </c>
      <c r="O185" s="3">
        <f t="shared" si="28"/>
        <v>0.37388230577907344</v>
      </c>
      <c r="P185" s="3">
        <f t="shared" si="28"/>
        <v>3.1458229679846283</v>
      </c>
      <c r="Q185" s="3">
        <f t="shared" si="28"/>
        <v>9.8459424910856352</v>
      </c>
      <c r="R185" s="3">
        <f t="shared" si="28"/>
        <v>6.5302520430127666</v>
      </c>
      <c r="S185" s="3">
        <f t="shared" si="28"/>
        <v>6.4651709448057613</v>
      </c>
      <c r="T185" s="3">
        <f t="shared" si="28"/>
        <v>8.3819735916698583</v>
      </c>
      <c r="U185" s="3">
        <f t="shared" si="28"/>
        <v>12.004397525976664</v>
      </c>
      <c r="V185" s="3">
        <f t="shared" si="28"/>
        <v>24.452209853214253</v>
      </c>
      <c r="W185" s="61">
        <f t="shared" si="18"/>
        <v>60.766188547856032</v>
      </c>
      <c r="X185" s="61">
        <f t="shared" si="18"/>
        <v>96.298725287132086</v>
      </c>
    </row>
    <row r="186" spans="1:24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M186" s="51">
        <v>17</v>
      </c>
      <c r="N186" s="3">
        <f t="shared" ref="N186:V186" si="29">+N60*100000/N123</f>
        <v>13.250337138171838</v>
      </c>
      <c r="O186" s="3">
        <f t="shared" si="29"/>
        <v>0.37839621829536735</v>
      </c>
      <c r="P186" s="3">
        <f t="shared" si="29"/>
        <v>2.4686226386707069</v>
      </c>
      <c r="Q186" s="3">
        <f t="shared" si="29"/>
        <v>9.8332933265008844</v>
      </c>
      <c r="R186" s="3">
        <f t="shared" si="29"/>
        <v>6.5817226562098856</v>
      </c>
      <c r="S186" s="3">
        <f t="shared" si="29"/>
        <v>6.1324250359982342</v>
      </c>
      <c r="T186" s="3">
        <f t="shared" si="29"/>
        <v>8.0516703882359248</v>
      </c>
      <c r="U186" s="3">
        <f t="shared" si="29"/>
        <v>11.418614474120618</v>
      </c>
      <c r="V186" s="3">
        <f t="shared" si="29"/>
        <v>21.998667655214682</v>
      </c>
      <c r="W186" s="61">
        <f t="shared" si="18"/>
        <v>55.495562599213279</v>
      </c>
      <c r="X186" s="61">
        <f t="shared" si="18"/>
        <v>92.670872872986877</v>
      </c>
    </row>
    <row r="187" spans="1:24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M187" s="51">
        <v>18</v>
      </c>
      <c r="N187" s="3">
        <f t="shared" ref="N187:V187" si="30">+N61*100000/N124</f>
        <v>12.329648779791841</v>
      </c>
      <c r="O187" s="3">
        <f t="shared" si="30"/>
        <v>0.33085597891136964</v>
      </c>
      <c r="P187" s="3">
        <f t="shared" si="30"/>
        <v>2.6749696822660853</v>
      </c>
      <c r="Q187" s="3">
        <f t="shared" si="30"/>
        <v>10.141157261387253</v>
      </c>
      <c r="R187" s="3">
        <f t="shared" si="30"/>
        <v>6.0492102226321256</v>
      </c>
      <c r="S187" s="3">
        <f t="shared" si="30"/>
        <v>5.5119221703795915</v>
      </c>
      <c r="T187" s="3">
        <f t="shared" si="30"/>
        <v>7.1826324197920126</v>
      </c>
      <c r="U187" s="3">
        <f t="shared" si="30"/>
        <v>10.047628945308526</v>
      </c>
      <c r="V187" s="3">
        <f t="shared" si="30"/>
        <v>19.747632509416391</v>
      </c>
      <c r="W187" s="61">
        <f t="shared" si="18"/>
        <v>51.168218735445301</v>
      </c>
      <c r="X187" s="61">
        <f t="shared" si="18"/>
        <v>82.751264179057969</v>
      </c>
    </row>
    <row r="188" spans="1:24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M188" s="51">
        <v>19</v>
      </c>
      <c r="N188" s="3">
        <v>11.46100482671579</v>
      </c>
      <c r="O188" s="3">
        <v>0.24983018122155387</v>
      </c>
      <c r="P188" s="3">
        <v>2.439767383643284</v>
      </c>
      <c r="Q188" s="3">
        <v>9.2176379343495114</v>
      </c>
      <c r="R188" s="3">
        <v>5.3624956145692639</v>
      </c>
      <c r="S188" s="3">
        <v>5.3186448740817571</v>
      </c>
      <c r="T188" s="3">
        <v>6.4750554019624085</v>
      </c>
      <c r="U188" s="3">
        <v>9.0687401881098211</v>
      </c>
      <c r="V188" s="3">
        <v>17.643078143265061</v>
      </c>
      <c r="W188" s="61">
        <v>45.42528966032711</v>
      </c>
      <c r="X188" s="61">
        <v>85.176846967041712</v>
      </c>
    </row>
    <row r="189" spans="1:24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M189" s="51">
        <v>20</v>
      </c>
      <c r="N189" s="3">
        <f t="shared" ref="N189:X189" si="31">SUM(N63/N126)*100000</f>
        <v>10.098607964087735</v>
      </c>
      <c r="O189" s="3">
        <f t="shared" si="31"/>
        <v>0.34593784481520995</v>
      </c>
      <c r="P189" s="3">
        <f t="shared" si="31"/>
        <v>1.3143354036744612</v>
      </c>
      <c r="Q189" s="3">
        <f t="shared" si="31"/>
        <v>8.0839980132413842</v>
      </c>
      <c r="R189" s="3">
        <f t="shared" si="31"/>
        <v>4.8268565736861175</v>
      </c>
      <c r="S189" s="3">
        <f t="shared" si="31"/>
        <v>4.03931424763711</v>
      </c>
      <c r="T189" s="3">
        <f t="shared" si="31"/>
        <v>5.5401625510074188</v>
      </c>
      <c r="U189" s="3">
        <f t="shared" si="31"/>
        <v>8.0491541818672587</v>
      </c>
      <c r="V189" s="3">
        <f t="shared" si="31"/>
        <v>15.670784323678296</v>
      </c>
      <c r="W189" s="61">
        <f t="shared" si="31"/>
        <v>40.302454283885197</v>
      </c>
      <c r="X189" s="61">
        <f t="shared" si="31"/>
        <v>72.720794801905882</v>
      </c>
    </row>
    <row r="190" spans="1:24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M190" s="51">
        <v>2021</v>
      </c>
      <c r="N190" s="3">
        <f t="shared" ref="N190:X190" si="32">SUM(N64/N127)*100000</f>
        <v>9.1783185788880814</v>
      </c>
      <c r="O190" s="3">
        <f t="shared" si="32"/>
        <v>0.1961543068823309</v>
      </c>
      <c r="P190" s="3">
        <f t="shared" si="32"/>
        <v>1.7563649410918782</v>
      </c>
      <c r="Q190" s="3">
        <f t="shared" si="32"/>
        <v>7.3562197193673358</v>
      </c>
      <c r="R190" s="3">
        <f t="shared" si="32"/>
        <v>4.2920318608237134</v>
      </c>
      <c r="S190" s="3">
        <f t="shared" si="32"/>
        <v>3.5745465254877176</v>
      </c>
      <c r="T190" s="3">
        <f t="shared" si="32"/>
        <v>4.9249123617408443</v>
      </c>
      <c r="U190" s="3">
        <f t="shared" si="32"/>
        <v>7.0116103749029435</v>
      </c>
      <c r="V190" s="3">
        <f t="shared" si="32"/>
        <v>13.678103742404868</v>
      </c>
      <c r="W190" s="61">
        <f t="shared" si="32"/>
        <v>36.460379703057761</v>
      </c>
      <c r="X190" s="61">
        <f t="shared" si="32"/>
        <v>64.635407616687104</v>
      </c>
    </row>
    <row r="191" spans="1:24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M191" s="51"/>
      <c r="N191" s="3">
        <f t="shared" ref="N191:X191" si="33">SUM(N65/N128)*100000</f>
        <v>8.1914870177256027</v>
      </c>
      <c r="O191" s="3">
        <f t="shared" si="33"/>
        <v>0.24133542058592516</v>
      </c>
      <c r="P191" s="3">
        <f t="shared" si="33"/>
        <v>1.2880222816970037</v>
      </c>
      <c r="Q191" s="3">
        <f t="shared" si="33"/>
        <v>6.1300053426507315</v>
      </c>
      <c r="R191" s="3">
        <f t="shared" si="33"/>
        <v>3.6829214074822318</v>
      </c>
      <c r="S191" s="3">
        <f t="shared" si="33"/>
        <v>3.136447891192601</v>
      </c>
      <c r="T191" s="3">
        <f t="shared" si="33"/>
        <v>4.1861876936932774</v>
      </c>
      <c r="U191" s="3">
        <f t="shared" si="33"/>
        <v>6.1484553558053028</v>
      </c>
      <c r="V191" s="3">
        <f t="shared" si="33"/>
        <v>12.623392747598134</v>
      </c>
      <c r="W191" s="61">
        <f t="shared" si="33"/>
        <v>32.574697266189929</v>
      </c>
      <c r="X191" s="61">
        <f t="shared" si="33"/>
        <v>53.998362605830529</v>
      </c>
    </row>
    <row r="192" spans="1:24" ht="14.25" thickBot="1" x14ac:dyDescent="0.2">
      <c r="B192" s="2" t="s">
        <v>1</v>
      </c>
      <c r="C192" s="2" t="s">
        <v>2</v>
      </c>
      <c r="D192" s="2" t="s">
        <v>3</v>
      </c>
      <c r="E192" s="2" t="s">
        <v>4</v>
      </c>
      <c r="F192" s="2" t="s">
        <v>5</v>
      </c>
      <c r="G192" s="2" t="s">
        <v>6</v>
      </c>
      <c r="H192" s="2" t="s">
        <v>7</v>
      </c>
      <c r="I192" s="2" t="s">
        <v>8</v>
      </c>
      <c r="J192" s="2" t="s">
        <v>9</v>
      </c>
      <c r="K192" s="2" t="s">
        <v>26</v>
      </c>
      <c r="L192" t="s">
        <v>27</v>
      </c>
      <c r="M192" t="s">
        <v>1</v>
      </c>
      <c r="N192" t="s">
        <v>2</v>
      </c>
      <c r="O192" t="s">
        <v>3</v>
      </c>
      <c r="P192" t="s">
        <v>4</v>
      </c>
      <c r="Q192" t="s">
        <v>5</v>
      </c>
      <c r="R192" t="s">
        <v>6</v>
      </c>
      <c r="S192" t="s">
        <v>7</v>
      </c>
      <c r="T192" t="s">
        <v>8</v>
      </c>
      <c r="U192" t="s">
        <v>9</v>
      </c>
      <c r="W192" t="s">
        <v>23</v>
      </c>
      <c r="X192" t="s">
        <v>35</v>
      </c>
    </row>
    <row r="193" spans="1:24" ht="13.5" customHeight="1" x14ac:dyDescent="0.15">
      <c r="A193">
        <v>62</v>
      </c>
      <c r="B193" s="2">
        <v>402.34525706617461</v>
      </c>
      <c r="C193" s="11">
        <v>189.13753082837661</v>
      </c>
      <c r="D193" s="12">
        <v>218.70200108166577</v>
      </c>
      <c r="E193" s="12">
        <v>412.71748135874066</v>
      </c>
      <c r="F193" s="12">
        <v>509.19556171983356</v>
      </c>
      <c r="G193" s="12">
        <v>527.75717353113407</v>
      </c>
      <c r="H193" s="12">
        <v>613.40155945419099</v>
      </c>
      <c r="I193" s="12">
        <v>746.93839911471787</v>
      </c>
      <c r="J193" s="12">
        <v>606.7002668247851</v>
      </c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3"/>
      <c r="X193" s="14"/>
    </row>
    <row r="194" spans="1:24" ht="13.5" customHeight="1" x14ac:dyDescent="0.15">
      <c r="B194" s="2">
        <v>385.91768539465767</v>
      </c>
      <c r="C194" s="15">
        <v>209.9468005394875</v>
      </c>
      <c r="D194" s="2">
        <v>211.79278821736924</v>
      </c>
      <c r="E194" s="2">
        <v>395.85552888836855</v>
      </c>
      <c r="F194" s="2">
        <v>479.84647498484952</v>
      </c>
      <c r="G194" s="2">
        <v>489.66507177033492</v>
      </c>
      <c r="H194" s="2">
        <v>559.60667461263404</v>
      </c>
      <c r="I194" s="2">
        <v>673.48728965270323</v>
      </c>
      <c r="J194" s="2">
        <v>554.19913419913416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X194" s="16"/>
    </row>
    <row r="195" spans="1:24" ht="13.5" customHeight="1" x14ac:dyDescent="0.15">
      <c r="B195" s="2">
        <v>354.8923930350814</v>
      </c>
      <c r="C195" s="15">
        <v>199.5713458196563</v>
      </c>
      <c r="D195" s="2">
        <v>187.29132490591527</v>
      </c>
      <c r="E195" s="2">
        <v>354.05953208246467</v>
      </c>
      <c r="F195" s="2">
        <v>416.80952692534186</v>
      </c>
      <c r="G195" s="2">
        <v>447.30173627404974</v>
      </c>
      <c r="H195" s="2">
        <v>518.86154205062405</v>
      </c>
      <c r="I195" s="2">
        <v>639.55833768040338</v>
      </c>
      <c r="J195" s="2">
        <v>557.80151813325836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X195" s="16"/>
    </row>
    <row r="196" spans="1:24" ht="13.5" customHeight="1" x14ac:dyDescent="0.15">
      <c r="A196">
        <v>65</v>
      </c>
      <c r="B196" s="2">
        <v>309.7379153233598</v>
      </c>
      <c r="C196" s="15">
        <v>176.76242298151556</v>
      </c>
      <c r="D196" s="2">
        <v>148.9940828402367</v>
      </c>
      <c r="E196" s="2">
        <v>285.74457113390247</v>
      </c>
      <c r="F196" s="2">
        <v>344.5052497613745</v>
      </c>
      <c r="G196" s="2">
        <v>400.8011049723757</v>
      </c>
      <c r="H196" s="2">
        <v>470.63392347230155</v>
      </c>
      <c r="I196" s="2">
        <v>598.78296146044624</v>
      </c>
      <c r="J196" s="2">
        <v>535.81803233762673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X196" s="16"/>
    </row>
    <row r="197" spans="1:24" ht="13.5" customHeight="1" x14ac:dyDescent="0.15">
      <c r="A197" s="1"/>
      <c r="B197" s="2">
        <v>280.97093227571668</v>
      </c>
      <c r="C197" s="15">
        <v>179.0315250175598</v>
      </c>
      <c r="D197" s="2">
        <v>131.99930094372596</v>
      </c>
      <c r="E197" s="2">
        <v>241.82183075036235</v>
      </c>
      <c r="F197" s="2">
        <v>304.48005026704368</v>
      </c>
      <c r="G197" s="2">
        <v>348.68293542419173</v>
      </c>
      <c r="H197" s="2">
        <v>428.94053932077173</v>
      </c>
      <c r="I197" s="2">
        <v>536.68639053254435</v>
      </c>
      <c r="J197" s="2">
        <v>498.89386357650778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X197" s="16"/>
    </row>
    <row r="198" spans="1:24" ht="13.5" customHeight="1" x14ac:dyDescent="0.15">
      <c r="A198" s="1"/>
      <c r="B198" s="2">
        <v>251.60960907369403</v>
      </c>
      <c r="C198" s="15">
        <v>166.47828059898518</v>
      </c>
      <c r="D198" s="2">
        <v>116.29944013003431</v>
      </c>
      <c r="E198" s="2">
        <v>204.90174791010747</v>
      </c>
      <c r="F198" s="2">
        <v>263.64877443375735</v>
      </c>
      <c r="G198" s="2">
        <v>306.51127438560934</v>
      </c>
      <c r="H198" s="2">
        <v>380.86268390548372</v>
      </c>
      <c r="I198" s="2">
        <v>497.80905165520551</v>
      </c>
      <c r="J198" s="2">
        <v>469.68314321926488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X198" s="16"/>
    </row>
    <row r="199" spans="1:24" ht="13.5" customHeight="1" x14ac:dyDescent="0.15">
      <c r="A199" s="1"/>
      <c r="B199" s="2">
        <v>223.45637912464505</v>
      </c>
      <c r="C199" s="15">
        <v>140.26503567787972</v>
      </c>
      <c r="D199" s="2">
        <v>95.898269433024183</v>
      </c>
      <c r="E199" s="2">
        <v>173.71343946686412</v>
      </c>
      <c r="F199" s="2">
        <v>223.77099423807772</v>
      </c>
      <c r="G199" s="2">
        <v>276.67045085955237</v>
      </c>
      <c r="H199" s="2">
        <v>353.42511013215858</v>
      </c>
      <c r="I199" s="2">
        <v>461.23656751284847</v>
      </c>
      <c r="J199" s="2">
        <v>451.31964809384164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X199" s="16"/>
    </row>
    <row r="200" spans="1:24" ht="13.5" customHeight="1" x14ac:dyDescent="0.15">
      <c r="B200" s="2">
        <v>193.30161124973404</v>
      </c>
      <c r="C200" s="15">
        <v>95.016837716484929</v>
      </c>
      <c r="D200" s="2">
        <v>78.100535640708699</v>
      </c>
      <c r="E200" s="2">
        <v>152.323242741478</v>
      </c>
      <c r="F200" s="2">
        <v>191.37701344313916</v>
      </c>
      <c r="G200" s="2">
        <v>245.86647948837935</v>
      </c>
      <c r="H200" s="2">
        <v>318.40243769724668</v>
      </c>
      <c r="I200" s="2">
        <v>433.41426403641884</v>
      </c>
      <c r="J200" s="2">
        <v>425.1179245283019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X200" s="16"/>
    </row>
    <row r="201" spans="1:24" ht="13.5" customHeight="1" x14ac:dyDescent="0.15">
      <c r="A201">
        <v>70</v>
      </c>
      <c r="B201" s="2">
        <v>170.96287237498328</v>
      </c>
      <c r="C201" s="15">
        <v>72.388415943989173</v>
      </c>
      <c r="D201" s="2">
        <v>65.388804182095399</v>
      </c>
      <c r="E201" s="2">
        <v>130.28275306902796</v>
      </c>
      <c r="F201" s="2">
        <v>160.67966973794424</v>
      </c>
      <c r="G201" s="2">
        <v>216.93833095470592</v>
      </c>
      <c r="H201" s="2">
        <v>293.09454662794451</v>
      </c>
      <c r="I201" s="2">
        <v>411.34951168984907</v>
      </c>
      <c r="J201" s="2">
        <v>410.36918869644484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X201" s="16"/>
    </row>
    <row r="202" spans="1:24" ht="13.5" customHeight="1" x14ac:dyDescent="0.15">
      <c r="B202" s="2">
        <v>149.19161620163374</v>
      </c>
      <c r="C202" s="15">
        <v>60.20542635658915</v>
      </c>
      <c r="D202" s="2">
        <v>57.363351514448183</v>
      </c>
      <c r="E202" s="2">
        <v>115.48062405636638</v>
      </c>
      <c r="F202" s="2">
        <v>138.76815873390811</v>
      </c>
      <c r="G202" s="2">
        <v>186.66618381980155</v>
      </c>
      <c r="H202" s="2">
        <v>249.14949815108292</v>
      </c>
      <c r="I202" s="2">
        <v>354.70036101083031</v>
      </c>
      <c r="J202" s="2">
        <v>378.00261096605743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X202" s="16"/>
    </row>
    <row r="203" spans="1:24" ht="13.5" customHeight="1" x14ac:dyDescent="0.15">
      <c r="B203" s="2">
        <v>137.796427041225</v>
      </c>
      <c r="C203" s="15">
        <v>50.461385304590877</v>
      </c>
      <c r="D203" s="2">
        <v>51.8694927363658</v>
      </c>
      <c r="E203" s="2">
        <v>106.28807330211951</v>
      </c>
      <c r="F203" s="2">
        <v>123.18992654774397</v>
      </c>
      <c r="G203" s="2">
        <v>168.7784071043983</v>
      </c>
      <c r="H203" s="2">
        <v>228.60701681544529</v>
      </c>
      <c r="I203" s="2">
        <v>327.62267343485615</v>
      </c>
      <c r="J203" s="2">
        <v>389.94378513429109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X203" s="16"/>
    </row>
    <row r="204" spans="1:24" ht="13.5" customHeight="1" x14ac:dyDescent="0.15">
      <c r="B204" s="2">
        <v>118.48036059240181</v>
      </c>
      <c r="C204" s="15">
        <v>36.141571504197231</v>
      </c>
      <c r="D204" s="2">
        <v>43.497428361498898</v>
      </c>
      <c r="E204" s="2">
        <v>89.368988266102633</v>
      </c>
      <c r="F204" s="2">
        <v>103.70668815471394</v>
      </c>
      <c r="G204" s="2">
        <v>143.11591753970936</v>
      </c>
      <c r="H204" s="2">
        <v>199.75515200979393</v>
      </c>
      <c r="I204" s="2">
        <v>284.39178950268632</v>
      </c>
      <c r="J204" s="2">
        <v>368.28976252245059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X204" s="16"/>
    </row>
    <row r="205" spans="1:24" ht="13.5" customHeight="1" x14ac:dyDescent="0.15">
      <c r="B205" s="2">
        <v>106.65067379076594</v>
      </c>
      <c r="C205" s="15">
        <v>26.364008789244348</v>
      </c>
      <c r="D205" s="2">
        <v>36.821897448600446</v>
      </c>
      <c r="E205" s="2">
        <v>78.993992465125757</v>
      </c>
      <c r="F205" s="2">
        <v>89.418710263396918</v>
      </c>
      <c r="G205" s="2">
        <v>127.05556288768642</v>
      </c>
      <c r="H205" s="2">
        <v>185.3046239333201</v>
      </c>
      <c r="I205" s="2">
        <v>275.94478692039667</v>
      </c>
      <c r="J205" s="2">
        <v>338.65042536736274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X205" s="16"/>
    </row>
    <row r="206" spans="1:24" ht="13.5" customHeight="1" x14ac:dyDescent="0.15">
      <c r="A206">
        <v>75</v>
      </c>
      <c r="B206" s="2">
        <v>96.564046670359318</v>
      </c>
      <c r="C206" s="15">
        <v>18.039057040932661</v>
      </c>
      <c r="D206" s="2">
        <v>32.780660675863814</v>
      </c>
      <c r="E206" s="2">
        <v>70.202425092694654</v>
      </c>
      <c r="F206" s="2">
        <v>78.467627933276788</v>
      </c>
      <c r="G206" s="2">
        <v>115.2916987920843</v>
      </c>
      <c r="H206" s="2">
        <v>175.46628407460545</v>
      </c>
      <c r="I206" s="2">
        <v>252.60712441920495</v>
      </c>
      <c r="J206" s="2">
        <v>312.53016521254875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X206" s="16"/>
    </row>
    <row r="207" spans="1:24" ht="13.5" customHeight="1" x14ac:dyDescent="0.15">
      <c r="B207" s="2">
        <v>86.59250481934103</v>
      </c>
      <c r="C207" s="15">
        <v>14.492806410489893</v>
      </c>
      <c r="D207" s="2">
        <v>30.301877219685437</v>
      </c>
      <c r="E207" s="2">
        <v>61.726303199441844</v>
      </c>
      <c r="F207" s="2">
        <v>71.63809962038421</v>
      </c>
      <c r="G207" s="2">
        <v>102.91152004033275</v>
      </c>
      <c r="H207" s="2">
        <v>152.51950435979808</v>
      </c>
      <c r="I207" s="2">
        <v>225.21303258145363</v>
      </c>
      <c r="J207" s="2">
        <v>284.35080136862956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X207" s="16"/>
    </row>
    <row r="208" spans="1:24" ht="13.5" customHeight="1" x14ac:dyDescent="0.15">
      <c r="B208" s="2">
        <v>78.17947684706624</v>
      </c>
      <c r="C208" s="15">
        <v>11.320072332730561</v>
      </c>
      <c r="D208" s="2">
        <v>25.54955407612109</v>
      </c>
      <c r="E208" s="2">
        <v>53.935510756889094</v>
      </c>
      <c r="F208" s="2">
        <v>61.695482431678748</v>
      </c>
      <c r="G208" s="2">
        <v>90.669144981412643</v>
      </c>
      <c r="H208" s="2">
        <v>140.45626706597375</v>
      </c>
      <c r="I208" s="2">
        <v>207.65804775454657</v>
      </c>
      <c r="J208" s="2">
        <v>261.95205479452056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X208" s="16"/>
    </row>
    <row r="209" spans="1:24" ht="13.5" customHeight="1" x14ac:dyDescent="0.15">
      <c r="B209" s="2">
        <v>70.006251410908718</v>
      </c>
      <c r="C209" s="15">
        <v>9.3474808719503386</v>
      </c>
      <c r="D209" s="2">
        <v>21.55419733067232</v>
      </c>
      <c r="E209" s="2">
        <v>46.766630316248637</v>
      </c>
      <c r="F209" s="2">
        <v>52.979954979097435</v>
      </c>
      <c r="G209" s="2">
        <v>78.0778200564625</v>
      </c>
      <c r="H209" s="2">
        <v>124.54070453396258</v>
      </c>
      <c r="I209" s="2">
        <v>188.69490904651445</v>
      </c>
      <c r="J209" s="2">
        <v>244.17841915382093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X209" s="16"/>
    </row>
    <row r="210" spans="1:24" ht="13.5" customHeight="1" x14ac:dyDescent="0.15">
      <c r="B210" s="2">
        <v>65.834000671643722</v>
      </c>
      <c r="C210" s="15">
        <v>8.5092539039907464</v>
      </c>
      <c r="D210" s="2">
        <v>20.066931085770946</v>
      </c>
      <c r="E210" s="2">
        <v>41.61437535653166</v>
      </c>
      <c r="F210" s="2">
        <v>49.077490774907751</v>
      </c>
      <c r="G210" s="2">
        <v>70.783206481708817</v>
      </c>
      <c r="H210" s="2">
        <v>116.84218988664684</v>
      </c>
      <c r="I210" s="2">
        <v>177.9140359397766</v>
      </c>
      <c r="J210" s="2">
        <v>232.94743429286609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X210" s="16"/>
    </row>
    <row r="211" spans="1:24" ht="13.5" customHeight="1" x14ac:dyDescent="0.15">
      <c r="A211">
        <v>80</v>
      </c>
      <c r="B211" s="2">
        <v>60.655513360019157</v>
      </c>
      <c r="C211" s="15">
        <v>6.8753859005556972</v>
      </c>
      <c r="D211" s="2">
        <v>18.509965969859017</v>
      </c>
      <c r="E211" s="2">
        <v>37.962908099780769</v>
      </c>
      <c r="F211" s="2">
        <v>44.87294917967187</v>
      </c>
      <c r="G211" s="2">
        <v>63.052355701834585</v>
      </c>
      <c r="H211" s="2">
        <v>107.58701603441533</v>
      </c>
      <c r="I211" s="2">
        <v>160.99476439790575</v>
      </c>
      <c r="J211" s="2">
        <v>218.27357637842724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X211" s="16"/>
    </row>
    <row r="212" spans="1:24" ht="13.5" customHeight="1" x14ac:dyDescent="0.15">
      <c r="B212" s="2">
        <v>55.874418920294524</v>
      </c>
      <c r="C212" s="15">
        <v>6.093540557185813</v>
      </c>
      <c r="D212" s="2">
        <v>16.241413150147203</v>
      </c>
      <c r="E212" s="2">
        <v>34.09284756914829</v>
      </c>
      <c r="F212" s="2">
        <v>38.71031943476963</v>
      </c>
      <c r="G212" s="2">
        <v>57.241915237013572</v>
      </c>
      <c r="H212" s="2">
        <v>99.114977874446865</v>
      </c>
      <c r="I212" s="2">
        <v>146.86480186480188</v>
      </c>
      <c r="J212" s="2">
        <v>202.02150537634409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X212" s="16"/>
    </row>
    <row r="213" spans="1:24" ht="13.5" customHeight="1" x14ac:dyDescent="0.15">
      <c r="B213" s="2">
        <v>53.870068159032122</v>
      </c>
      <c r="C213" s="15">
        <v>5.3606810009539885</v>
      </c>
      <c r="D213" s="2">
        <v>13.655811742334205</v>
      </c>
      <c r="E213" s="2">
        <v>31.430168986083498</v>
      </c>
      <c r="F213" s="2">
        <v>35.94092995410098</v>
      </c>
      <c r="G213" s="2">
        <v>52.457861044223883</v>
      </c>
      <c r="H213" s="2">
        <v>93.63241678726483</v>
      </c>
      <c r="I213" s="2">
        <v>144.55875628715134</v>
      </c>
      <c r="J213" s="2">
        <v>199.50624057056646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X213" s="16"/>
    </row>
    <row r="214" spans="1:24" ht="13.5" customHeight="1" x14ac:dyDescent="0.15">
      <c r="B214" s="2">
        <v>51.907802783659598</v>
      </c>
      <c r="C214" s="15">
        <v>4.6231603983945293</v>
      </c>
      <c r="D214" s="2">
        <v>14.915332869403851</v>
      </c>
      <c r="E214" s="2">
        <v>30.348851800727822</v>
      </c>
      <c r="F214" s="2">
        <v>33.853252419880633</v>
      </c>
      <c r="G214" s="2">
        <v>48.282863441234483</v>
      </c>
      <c r="H214" s="2">
        <v>87.535014005602235</v>
      </c>
      <c r="I214" s="2">
        <v>136.30679915150162</v>
      </c>
      <c r="J214" s="2">
        <v>195.65846599131694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X214" s="16"/>
    </row>
    <row r="215" spans="1:24" ht="13.5" customHeight="1" x14ac:dyDescent="0.15">
      <c r="B215" s="2">
        <v>51.167297375972055</v>
      </c>
      <c r="C215" s="15">
        <v>4.6143978267431329</v>
      </c>
      <c r="D215" s="2">
        <v>14.971687429218573</v>
      </c>
      <c r="E215" s="2">
        <v>29.851308112177676</v>
      </c>
      <c r="F215" s="2">
        <v>33.206203915586066</v>
      </c>
      <c r="G215" s="2">
        <v>46.77621819011754</v>
      </c>
      <c r="H215" s="2">
        <v>85.494670675047828</v>
      </c>
      <c r="I215" s="2">
        <v>131.57494844241833</v>
      </c>
      <c r="J215" s="2">
        <v>187.47949009213681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X215" s="16"/>
    </row>
    <row r="216" spans="1:24" ht="13.5" customHeight="1" x14ac:dyDescent="0.15">
      <c r="A216">
        <v>85</v>
      </c>
      <c r="B216" s="2">
        <v>48.392081040437589</v>
      </c>
      <c r="C216" s="15">
        <v>4.1695408906261973</v>
      </c>
      <c r="D216" s="2">
        <v>12.603075551593493</v>
      </c>
      <c r="E216" s="2">
        <v>28.063733117570173</v>
      </c>
      <c r="F216" s="2">
        <v>29.894206549118387</v>
      </c>
      <c r="G216" s="2">
        <v>42.716149140020775</v>
      </c>
      <c r="H216" s="2">
        <v>78.33355713710219</v>
      </c>
      <c r="I216" s="2">
        <v>122.72822226864425</v>
      </c>
      <c r="J216" s="2">
        <v>183.80847953216374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X216" s="16"/>
    </row>
    <row r="217" spans="1:24" ht="13.5" customHeight="1" x14ac:dyDescent="0.15">
      <c r="B217" s="2">
        <v>46.592478137944639</v>
      </c>
      <c r="C217" s="15">
        <v>3.3813006212156957</v>
      </c>
      <c r="D217" s="2">
        <v>11.21858900220797</v>
      </c>
      <c r="E217" s="2">
        <v>26.390114739629304</v>
      </c>
      <c r="F217" s="2">
        <v>28.605817452357073</v>
      </c>
      <c r="G217" s="2">
        <v>40.491659350307287</v>
      </c>
      <c r="H217" s="2">
        <v>72.317385312069305</v>
      </c>
      <c r="I217" s="2">
        <v>117.68700689104165</v>
      </c>
      <c r="J217" s="2">
        <v>176.42058686539357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X217" s="16"/>
    </row>
    <row r="218" spans="1:24" ht="13.5" customHeight="1" x14ac:dyDescent="0.15">
      <c r="B218" s="2">
        <v>46.208205195315053</v>
      </c>
      <c r="C218" s="15">
        <v>2.9132464187992917</v>
      </c>
      <c r="D218" s="2">
        <v>13.62781954887218</v>
      </c>
      <c r="E218" s="2">
        <v>27.130681818181817</v>
      </c>
      <c r="F218" s="2">
        <v>29.064785788923722</v>
      </c>
      <c r="G218" s="2">
        <v>38.315694153602351</v>
      </c>
      <c r="H218" s="2">
        <v>70.291400142146415</v>
      </c>
      <c r="I218" s="2">
        <v>110.89553665296761</v>
      </c>
      <c r="J218" s="2"/>
      <c r="K218" s="17">
        <v>168.04300405110627</v>
      </c>
      <c r="L218" s="17">
        <v>180.46811945117031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X218" s="16"/>
    </row>
    <row r="219" spans="1:24" ht="13.5" customHeight="1" x14ac:dyDescent="0.15">
      <c r="B219" s="2">
        <v>44.270786672422076</v>
      </c>
      <c r="C219" s="15">
        <v>2.8225974567437984</v>
      </c>
      <c r="D219" s="2">
        <v>11.102123356926189</v>
      </c>
      <c r="E219" s="2">
        <v>26.818899550589094</v>
      </c>
      <c r="F219" s="2">
        <v>27.057922660394901</v>
      </c>
      <c r="G219" s="2">
        <v>35.919431022313915</v>
      </c>
      <c r="H219" s="2">
        <v>64.12897447380206</v>
      </c>
      <c r="I219" s="2">
        <v>105.13711151736746</v>
      </c>
      <c r="J219" s="2"/>
      <c r="K219" s="17">
        <v>158.72190796514295</v>
      </c>
      <c r="L219" s="17">
        <v>178.65296803652967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X219" s="16"/>
    </row>
    <row r="220" spans="1:24" ht="13.5" customHeight="1" x14ac:dyDescent="0.15">
      <c r="B220" s="2">
        <v>43.09115248874285</v>
      </c>
      <c r="C220" s="15">
        <v>2.5948275862068964</v>
      </c>
      <c r="D220" s="2">
        <v>10.412926391382406</v>
      </c>
      <c r="E220" s="2">
        <v>25.871537726838586</v>
      </c>
      <c r="F220" s="2">
        <v>26.304634244142751</v>
      </c>
      <c r="G220" s="2">
        <v>34.993779805100559</v>
      </c>
      <c r="H220" s="2">
        <v>60.076726342710998</v>
      </c>
      <c r="I220" s="2">
        <v>100.43580580493332</v>
      </c>
      <c r="J220" s="2"/>
      <c r="K220" s="17">
        <v>153.86360199606835</v>
      </c>
      <c r="L220" s="17">
        <v>167.79842744817728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X220" s="16"/>
    </row>
    <row r="221" spans="1:24" ht="13.5" customHeight="1" x14ac:dyDescent="0.15">
      <c r="A221">
        <v>90</v>
      </c>
      <c r="B221" s="2">
        <v>41.922983577380471</v>
      </c>
      <c r="C221" s="15">
        <v>2.3032458870609158</v>
      </c>
      <c r="D221" s="2">
        <v>9.9101796407185621</v>
      </c>
      <c r="E221" s="2">
        <v>25.078901227352425</v>
      </c>
      <c r="F221" s="2">
        <v>24.458977407847801</v>
      </c>
      <c r="G221" s="2">
        <v>32.70283975659229</v>
      </c>
      <c r="H221" s="2">
        <v>56.493998736576124</v>
      </c>
      <c r="I221" s="2">
        <v>96.157094594594597</v>
      </c>
      <c r="J221" s="2"/>
      <c r="K221" s="17">
        <v>148.80046811000585</v>
      </c>
      <c r="L221" s="17">
        <v>167.71573604060913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X221" s="16"/>
    </row>
    <row r="222" spans="1:24" ht="13.5" customHeight="1" x14ac:dyDescent="0.15">
      <c r="B222" s="2">
        <v>40.801979958562754</v>
      </c>
      <c r="C222" s="15">
        <v>2.0772461650840031</v>
      </c>
      <c r="D222" s="2">
        <v>9.6484138209739339</v>
      </c>
      <c r="E222" s="2">
        <v>25.139568345323742</v>
      </c>
      <c r="F222" s="2">
        <v>23.248563394057953</v>
      </c>
      <c r="G222" s="2">
        <v>31.784077748124275</v>
      </c>
      <c r="H222" s="2">
        <v>52.341427155599604</v>
      </c>
      <c r="I222" s="2">
        <v>91.726036269430054</v>
      </c>
      <c r="J222" s="2"/>
      <c r="K222" s="17">
        <v>141.85084842435478</v>
      </c>
      <c r="L222" s="17">
        <v>158.94904458598725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X222" s="16"/>
    </row>
    <row r="223" spans="1:24" ht="13.5" customHeight="1" x14ac:dyDescent="0.15">
      <c r="B223" s="2">
        <v>39.337254523832485</v>
      </c>
      <c r="C223" s="15">
        <v>2.0876240404418649</v>
      </c>
      <c r="D223" s="2">
        <v>8.967165419783873</v>
      </c>
      <c r="E223" s="2">
        <v>23.855678189254299</v>
      </c>
      <c r="F223" s="2">
        <v>22.688708671241422</v>
      </c>
      <c r="G223" s="2">
        <v>30.572091615376856</v>
      </c>
      <c r="H223" s="2">
        <v>49.193989902062171</v>
      </c>
      <c r="I223" s="2">
        <v>85.401858939311097</v>
      </c>
      <c r="J223" s="2"/>
      <c r="K223" s="17">
        <v>131.38127695089722</v>
      </c>
      <c r="L223" s="17">
        <v>156.84273709483793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X223" s="16"/>
    </row>
    <row r="224" spans="1:24" ht="13.5" customHeight="1" x14ac:dyDescent="0.15">
      <c r="B224" s="2">
        <v>38.021384373697543</v>
      </c>
      <c r="C224" s="15">
        <v>2.0824336644114965</v>
      </c>
      <c r="D224" s="2">
        <v>8.3216405828386399</v>
      </c>
      <c r="E224" s="2">
        <v>23.588874924867493</v>
      </c>
      <c r="F224" s="2">
        <v>21.694958036221365</v>
      </c>
      <c r="G224" s="2">
        <v>28.244236128705346</v>
      </c>
      <c r="H224" s="2">
        <v>46.272601669970562</v>
      </c>
      <c r="I224" s="2">
        <v>81.043872919818455</v>
      </c>
      <c r="J224" s="2"/>
      <c r="K224" s="17">
        <v>125.93695034501421</v>
      </c>
      <c r="L224" s="17">
        <v>147.22775092408301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X224" s="16"/>
    </row>
    <row r="225" spans="1:24" ht="13.5" customHeight="1" x14ac:dyDescent="0.15">
      <c r="B225" s="2">
        <v>35.662299854439595</v>
      </c>
      <c r="C225" s="15">
        <v>1.8467718232585482</v>
      </c>
      <c r="D225" s="2">
        <v>7.285440396977557</v>
      </c>
      <c r="E225" s="2">
        <v>20.527387715725158</v>
      </c>
      <c r="F225" s="2">
        <v>20.622666582294499</v>
      </c>
      <c r="G225" s="2">
        <v>26.517719568567028</v>
      </c>
      <c r="H225" s="2">
        <v>43.302199101442419</v>
      </c>
      <c r="I225" s="2">
        <v>74.533106960950761</v>
      </c>
      <c r="J225" s="2"/>
      <c r="K225" s="17">
        <v>115.40979313956534</v>
      </c>
      <c r="L225" s="17">
        <v>136.54208120462491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X225" s="16"/>
    </row>
    <row r="226" spans="1:24" ht="13.5" customHeight="1" x14ac:dyDescent="0.15">
      <c r="A226">
        <v>95</v>
      </c>
      <c r="B226" s="2">
        <v>34.306238004603046</v>
      </c>
      <c r="C226" s="15">
        <v>1.7035775127768313</v>
      </c>
      <c r="D226" s="2">
        <v>7.0238788584740828</v>
      </c>
      <c r="E226" s="2">
        <v>20.841705131686126</v>
      </c>
      <c r="F226" s="2">
        <v>20.336081166772352</v>
      </c>
      <c r="G226" s="2">
        <v>25.986707566462169</v>
      </c>
      <c r="H226" s="2">
        <v>41.276645722003643</v>
      </c>
      <c r="I226" s="2">
        <v>66.542697754255471</v>
      </c>
      <c r="J226" s="2"/>
      <c r="K226" s="17">
        <v>105.75794621026895</v>
      </c>
      <c r="L226" s="17">
        <v>125.51224387806097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X226" s="16"/>
    </row>
    <row r="227" spans="1:24" ht="13.5" customHeight="1" x14ac:dyDescent="0.15">
      <c r="B227" s="2">
        <v>33.744358990656579</v>
      </c>
      <c r="C227" s="15">
        <v>1.5290053845372347</v>
      </c>
      <c r="D227" s="2">
        <v>6.7572485745481012</v>
      </c>
      <c r="E227" s="2">
        <v>20.188186095138526</v>
      </c>
      <c r="F227" s="2">
        <v>20.682005450972934</v>
      </c>
      <c r="G227" s="2">
        <v>26.454090656425286</v>
      </c>
      <c r="H227" s="2">
        <v>40.214380344453815</v>
      </c>
      <c r="I227" s="2">
        <v>64.161727349703639</v>
      </c>
      <c r="J227" s="2"/>
      <c r="K227" s="17">
        <v>101.14613180515759</v>
      </c>
      <c r="L227" s="17">
        <v>122.66829865361078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X227" s="16"/>
    </row>
    <row r="228" spans="1:24" ht="13.5" customHeight="1" x14ac:dyDescent="0.15">
      <c r="B228" s="2">
        <v>33.856189464673527</v>
      </c>
      <c r="C228" s="15">
        <v>1.4716513477228133</v>
      </c>
      <c r="D228" s="2">
        <v>6.4334790755777638</v>
      </c>
      <c r="E228" s="2">
        <v>20.202284875799183</v>
      </c>
      <c r="F228" s="2">
        <v>19.917890022393632</v>
      </c>
      <c r="G228" s="2">
        <v>25.069711159046665</v>
      </c>
      <c r="H228" s="2">
        <v>38.246083969021136</v>
      </c>
      <c r="I228" s="2">
        <v>61.210186662965789</v>
      </c>
      <c r="J228" s="2"/>
      <c r="K228" s="17">
        <v>102.93782737417445</v>
      </c>
      <c r="L228" s="17">
        <v>132.8330206378987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X228" s="16"/>
    </row>
    <row r="229" spans="1:24" ht="13.5" customHeight="1" x14ac:dyDescent="0.15"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>
        <v>32.44074443021362</v>
      </c>
      <c r="N229" s="2">
        <v>1.4376410094968257</v>
      </c>
      <c r="O229" s="2">
        <v>6.4685538619187906</v>
      </c>
      <c r="P229" s="2">
        <v>20.681303638182488</v>
      </c>
      <c r="Q229" s="2">
        <v>19.366089457259989</v>
      </c>
      <c r="R229" s="2">
        <v>23.515164859360379</v>
      </c>
      <c r="S229" s="2">
        <v>35.296089385474858</v>
      </c>
      <c r="T229" s="2">
        <v>56.32207578253707</v>
      </c>
      <c r="U229" s="17">
        <v>93.9</v>
      </c>
      <c r="V229" s="17">
        <v>128.80000000000001</v>
      </c>
      <c r="X229" s="16"/>
    </row>
    <row r="230" spans="1:24" ht="13.5" customHeight="1" x14ac:dyDescent="0.15"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>
        <v>34.58787869219961</v>
      </c>
      <c r="N230" s="2">
        <v>1.493970760857966</v>
      </c>
      <c r="O230" s="2">
        <v>7.0019595035924231</v>
      </c>
      <c r="P230" s="2">
        <v>21.314878892733564</v>
      </c>
      <c r="Q230" s="2">
        <v>20.609858985175364</v>
      </c>
      <c r="R230" s="2">
        <v>24.318090075543509</v>
      </c>
      <c r="S230" s="2">
        <v>35.588972431077693</v>
      </c>
      <c r="T230" s="2">
        <v>55.661477264933815</v>
      </c>
      <c r="U230" s="17">
        <v>102.2</v>
      </c>
      <c r="V230" s="17">
        <v>146.4</v>
      </c>
      <c r="X230" s="16"/>
    </row>
    <row r="231" spans="1:24" ht="13.5" customHeight="1" x14ac:dyDescent="0.15">
      <c r="A231" s="5">
        <v>2000</v>
      </c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>
        <v>31.030814929206816</v>
      </c>
      <c r="N231" s="2">
        <v>1.1925411968777104</v>
      </c>
      <c r="O231" s="2">
        <v>5.7025122956267449</v>
      </c>
      <c r="P231" s="2">
        <v>20.088808948344667</v>
      </c>
      <c r="Q231" s="2">
        <v>19.633445136559654</v>
      </c>
      <c r="R231" s="2">
        <v>21.619041937600667</v>
      </c>
      <c r="S231" s="2">
        <v>31.260009298961617</v>
      </c>
      <c r="T231" s="2">
        <v>46.125779487859894</v>
      </c>
      <c r="U231" s="17">
        <v>87.2</v>
      </c>
      <c r="V231" s="17">
        <v>130.1</v>
      </c>
      <c r="X231" s="16"/>
    </row>
    <row r="232" spans="1:24" ht="13.5" customHeight="1" x14ac:dyDescent="0.15">
      <c r="A232" s="5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>
        <v>27.880211483922665</v>
      </c>
      <c r="N232" s="2">
        <v>1.0665645681780889</v>
      </c>
      <c r="O232" s="2">
        <v>5.7278911564625847</v>
      </c>
      <c r="P232" s="2">
        <v>17.632931188561216</v>
      </c>
      <c r="Q232" s="2">
        <v>17.538497029817176</v>
      </c>
      <c r="R232" s="2">
        <v>18.497819812073942</v>
      </c>
      <c r="S232" s="2">
        <v>27.826311708451797</v>
      </c>
      <c r="T232" s="2">
        <v>40.921355709114842</v>
      </c>
      <c r="U232" s="17">
        <v>75.3</v>
      </c>
      <c r="V232" s="17">
        <v>120.8</v>
      </c>
      <c r="X232" s="16"/>
    </row>
    <row r="233" spans="1:24" ht="13.5" customHeight="1" x14ac:dyDescent="0.15">
      <c r="A233" s="5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>
        <v>25.760583827049082</v>
      </c>
      <c r="N233" s="2">
        <v>0.85625897690862884</v>
      </c>
      <c r="O233" s="2">
        <v>4.6566583263830967</v>
      </c>
      <c r="P233" s="2">
        <v>16.52812016281603</v>
      </c>
      <c r="Q233" s="2">
        <v>16.013292779092037</v>
      </c>
      <c r="R233" s="2">
        <v>16.823426134938551</v>
      </c>
      <c r="S233" s="2">
        <v>24.744355048014533</v>
      </c>
      <c r="T233" s="2">
        <v>35.79736365986043</v>
      </c>
      <c r="U233" s="17">
        <v>70.099999999999994</v>
      </c>
      <c r="V233" s="17">
        <v>111.6</v>
      </c>
      <c r="X233" s="16"/>
    </row>
    <row r="234" spans="1:24" ht="13.5" customHeight="1" x14ac:dyDescent="0.15">
      <c r="A234" s="6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>
        <v>24.790979399619179</v>
      </c>
      <c r="N234" s="2">
        <v>0.70929907846970119</v>
      </c>
      <c r="O234" s="2">
        <v>4.3733028440760329</v>
      </c>
      <c r="P234" s="2">
        <v>16.492779251399941</v>
      </c>
      <c r="Q234" s="2">
        <v>15.427376300291705</v>
      </c>
      <c r="R234" s="2">
        <v>15.562452495566253</v>
      </c>
      <c r="S234" s="2">
        <v>23.082938018036803</v>
      </c>
      <c r="T234" s="2">
        <v>32.675536316761089</v>
      </c>
      <c r="U234" s="2">
        <v>64.792110874200432</v>
      </c>
      <c r="W234" s="39">
        <v>110.67796610169492</v>
      </c>
      <c r="X234" s="42">
        <v>114.82277121374865</v>
      </c>
    </row>
    <row r="235" spans="1:24" ht="13.5" customHeight="1" x14ac:dyDescent="0.15">
      <c r="A235" s="6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>
        <v>23.288268414178564</v>
      </c>
      <c r="N235" s="2">
        <v>0.65976440320672569</v>
      </c>
      <c r="O235" s="2">
        <v>4.466638939980796</v>
      </c>
      <c r="P235" s="2">
        <v>15.339591741134681</v>
      </c>
      <c r="Q235" s="2">
        <v>14.815738318347686</v>
      </c>
      <c r="R235" s="2">
        <v>14.883197352338826</v>
      </c>
      <c r="S235" s="2">
        <v>21.071782338572909</v>
      </c>
      <c r="T235" s="2">
        <v>29.107890057448696</v>
      </c>
      <c r="U235" s="2">
        <v>59.089746368094964</v>
      </c>
      <c r="W235" s="39">
        <v>103.14964795059477</v>
      </c>
      <c r="X235" s="42">
        <v>109.84241157242955</v>
      </c>
    </row>
    <row r="236" spans="1:24" ht="13.5" customHeight="1" x14ac:dyDescent="0.15">
      <c r="A236" s="6" t="s">
        <v>55</v>
      </c>
      <c r="C236" s="30"/>
      <c r="L236" s="3"/>
      <c r="M236" s="2">
        <v>22.194913015910835</v>
      </c>
      <c r="N236" s="2">
        <v>0.67242538664459728</v>
      </c>
      <c r="O236" s="2">
        <v>4.3514900789090634</v>
      </c>
      <c r="P236" s="2">
        <v>15.447252629319596</v>
      </c>
      <c r="Q236" s="2">
        <v>14.931783447306477</v>
      </c>
      <c r="R236" s="2">
        <v>14.041923363989424</v>
      </c>
      <c r="S236" s="2">
        <v>18.925430919088118</v>
      </c>
      <c r="T236" s="2">
        <v>26.217750289255449</v>
      </c>
      <c r="U236" s="2">
        <v>50.899912380125564</v>
      </c>
      <c r="W236" s="39">
        <v>95.138989431012021</v>
      </c>
      <c r="X236" s="42">
        <v>100.2584439889493</v>
      </c>
    </row>
    <row r="237" spans="1:24" ht="13.5" customHeight="1" x14ac:dyDescent="0.15">
      <c r="A237" s="6"/>
      <c r="C237" s="30"/>
      <c r="L237" s="3"/>
      <c r="M237" s="2">
        <v>20.649683950419782</v>
      </c>
      <c r="N237" s="2">
        <v>0.48753194409671946</v>
      </c>
      <c r="O237" s="2">
        <v>3.3312583018770705</v>
      </c>
      <c r="P237" s="2">
        <v>13.499437088480034</v>
      </c>
      <c r="Q237" s="2">
        <v>12.777309781567212</v>
      </c>
      <c r="R237" s="2">
        <v>12.993830131409915</v>
      </c>
      <c r="S237" s="2">
        <v>17.334963457315041</v>
      </c>
      <c r="T237" s="2">
        <v>24.335355275574592</v>
      </c>
      <c r="U237" s="2">
        <v>49.964499768988823</v>
      </c>
      <c r="W237" s="39">
        <v>91.990470144537568</v>
      </c>
      <c r="X237" s="42">
        <v>97.872697934539616</v>
      </c>
    </row>
    <row r="238" spans="1:24" ht="13.5" customHeight="1" x14ac:dyDescent="0.15">
      <c r="A238" s="6"/>
      <c r="C238" s="30"/>
      <c r="L238" s="3"/>
      <c r="M238" s="2">
        <v>19.8096914072554</v>
      </c>
      <c r="N238" s="2">
        <v>0.5320212917234084</v>
      </c>
      <c r="O238" s="2">
        <v>3.1998028539375962</v>
      </c>
      <c r="P238" s="2">
        <v>12.798507390705636</v>
      </c>
      <c r="Q238" s="2">
        <v>12.283183581917898</v>
      </c>
      <c r="R238" s="2">
        <v>12.129402863542024</v>
      </c>
      <c r="S238" s="2">
        <v>16.419383181931472</v>
      </c>
      <c r="T238" s="2">
        <v>22.647475128394447</v>
      </c>
      <c r="U238" s="2">
        <v>45.318710901700598</v>
      </c>
      <c r="W238" s="39">
        <v>90.294247350458818</v>
      </c>
      <c r="X238" s="42">
        <v>91.714071360256312</v>
      </c>
    </row>
    <row r="239" spans="1:24" ht="13.5" customHeight="1" x14ac:dyDescent="0.15">
      <c r="A239" s="6"/>
      <c r="C239" s="30"/>
      <c r="L239" s="3"/>
      <c r="M239" s="2">
        <v>19.39040816965824</v>
      </c>
      <c r="N239" s="2">
        <v>0.55309734513274333</v>
      </c>
      <c r="O239" s="2">
        <v>3.1031681559707556</v>
      </c>
      <c r="P239" s="2">
        <v>12.371903630810994</v>
      </c>
      <c r="Q239" s="2">
        <v>11.566783122816448</v>
      </c>
      <c r="R239" s="2">
        <v>11.842836844381294</v>
      </c>
      <c r="S239" s="2">
        <v>15.764439411098527</v>
      </c>
      <c r="T239" s="2">
        <v>21.7</v>
      </c>
      <c r="U239" s="2">
        <v>43.623898188581599</v>
      </c>
      <c r="W239" s="39">
        <v>87.197176319589289</v>
      </c>
      <c r="X239" s="42">
        <v>89.833573540497369</v>
      </c>
    </row>
    <row r="240" spans="1:24" ht="13.5" customHeight="1" x14ac:dyDescent="0.15">
      <c r="A240" s="6"/>
      <c r="C240" s="30"/>
      <c r="L240" s="3"/>
      <c r="M240" s="2">
        <v>18.95544041805114</v>
      </c>
      <c r="N240" s="2">
        <v>0.42913421584098987</v>
      </c>
      <c r="O240" s="2">
        <v>3.3560574616261976</v>
      </c>
      <c r="P240" s="2">
        <v>11.785960028877337</v>
      </c>
      <c r="Q240" s="2">
        <v>11.471602893750068</v>
      </c>
      <c r="R240" s="2">
        <v>11.257159602265718</v>
      </c>
      <c r="S240" s="2">
        <v>14.674485709949071</v>
      </c>
      <c r="T240" s="2">
        <v>20.507855407595592</v>
      </c>
      <c r="U240" s="2">
        <v>40.461954798148845</v>
      </c>
      <c r="W240" s="40">
        <v>86.792245402180797</v>
      </c>
      <c r="X240" s="42">
        <v>95.729112930273416</v>
      </c>
    </row>
    <row r="241" spans="1:25" ht="13.5" customHeight="1" x14ac:dyDescent="0.15">
      <c r="A241" s="6">
        <v>10</v>
      </c>
      <c r="C241" s="30"/>
      <c r="L241" s="3"/>
      <c r="M241" s="2">
        <v>18.164709189729493</v>
      </c>
      <c r="N241" s="2">
        <v>0.52983759584702572</v>
      </c>
      <c r="O241" s="2">
        <v>4.173317371641394</v>
      </c>
      <c r="P241" s="2">
        <v>10.923909564821598</v>
      </c>
      <c r="Q241" s="2">
        <v>10.744088234636122</v>
      </c>
      <c r="R241" s="2">
        <v>10.604721626057316</v>
      </c>
      <c r="S241" s="2">
        <v>13.399332193577456</v>
      </c>
      <c r="T241" s="2">
        <v>19.927136233164052</v>
      </c>
      <c r="U241" s="2">
        <v>38.776823867910629</v>
      </c>
      <c r="W241" s="40">
        <v>82.572175394284713</v>
      </c>
      <c r="X241" s="42">
        <v>94.938099772910405</v>
      </c>
    </row>
    <row r="242" spans="1:25" ht="13.5" customHeight="1" x14ac:dyDescent="0.15">
      <c r="A242" s="6"/>
      <c r="C242" s="30"/>
      <c r="L242" s="3"/>
      <c r="M242" s="19">
        <v>17.747441319905718</v>
      </c>
      <c r="N242" s="19">
        <v>0.50283861376732619</v>
      </c>
      <c r="O242" s="19">
        <v>2.5841953901904602</v>
      </c>
      <c r="P242" s="19">
        <v>10.427385950742117</v>
      </c>
      <c r="Q242" s="19">
        <v>9.6492085823588312</v>
      </c>
      <c r="R242" s="19">
        <v>10.531901534822111</v>
      </c>
      <c r="S242" s="19">
        <v>12.838762561341277</v>
      </c>
      <c r="T242" s="19">
        <v>17.477288582534033</v>
      </c>
      <c r="U242" s="19">
        <v>36.580493030009137</v>
      </c>
      <c r="W242" s="56">
        <v>82.834272177938743</v>
      </c>
      <c r="X242" s="57">
        <v>99.054143603606349</v>
      </c>
    </row>
    <row r="243" spans="1:25" ht="13.5" customHeight="1" x14ac:dyDescent="0.15">
      <c r="A243" s="6"/>
      <c r="C243" s="30"/>
      <c r="L243" s="3"/>
      <c r="M243" s="19">
        <v>16.690568012817742</v>
      </c>
      <c r="N243" s="19">
        <v>0.38073329958706753</v>
      </c>
      <c r="O243" s="19">
        <v>2.7274701870978428</v>
      </c>
      <c r="P243" s="19">
        <v>9.6694308376317135</v>
      </c>
      <c r="Q243" s="19">
        <v>8.8562064474458051</v>
      </c>
      <c r="R243" s="19">
        <v>9.0529376754466391</v>
      </c>
      <c r="S243" s="19">
        <v>11.483090014439266</v>
      </c>
      <c r="T243" s="19">
        <v>16.325055485947633</v>
      </c>
      <c r="U243" s="19">
        <v>33.663526495796127</v>
      </c>
      <c r="W243" s="56">
        <v>77.621503355682961</v>
      </c>
      <c r="X243" s="57">
        <v>97.137837544166956</v>
      </c>
    </row>
    <row r="244" spans="1:25" x14ac:dyDescent="0.15">
      <c r="A244" s="6"/>
      <c r="C244" s="30"/>
      <c r="L244" s="3"/>
      <c r="M244" s="19">
        <v>16.100056995537216</v>
      </c>
      <c r="N244" s="19">
        <v>0.40267935521517356</v>
      </c>
      <c r="O244" s="19">
        <v>2.7285558250119273</v>
      </c>
      <c r="P244" s="19">
        <v>9.147814532802526</v>
      </c>
      <c r="Q244" s="19">
        <v>7.8941557353289182</v>
      </c>
      <c r="R244" s="19">
        <v>8.2774160496552014</v>
      </c>
      <c r="S244" s="19">
        <v>10.766003405419431</v>
      </c>
      <c r="T244" s="19">
        <v>15.425626130411716</v>
      </c>
      <c r="U244" s="19">
        <v>31.364633544299288</v>
      </c>
      <c r="W244" s="56">
        <v>76.174499961756652</v>
      </c>
      <c r="X244" s="57">
        <v>95.578472901457474</v>
      </c>
    </row>
    <row r="245" spans="1:25" x14ac:dyDescent="0.15">
      <c r="A245" s="6"/>
      <c r="C245" s="30"/>
      <c r="L245" s="3"/>
      <c r="M245" s="19">
        <v>15.434816566352687</v>
      </c>
      <c r="N245" s="19">
        <v>0.3018495430336729</v>
      </c>
      <c r="O245" s="19">
        <v>2.7974836634447318</v>
      </c>
      <c r="P245" s="19">
        <v>9.2231270064959379</v>
      </c>
      <c r="Q245" s="19">
        <v>7.6533023069903772</v>
      </c>
      <c r="R245" s="19">
        <v>7.8254298755892506</v>
      </c>
      <c r="S245" s="19">
        <v>9.8022813806377371</v>
      </c>
      <c r="T245" s="19">
        <v>14.321015403556233</v>
      </c>
      <c r="U245" s="19">
        <v>28.37131600786001</v>
      </c>
      <c r="W245" s="56">
        <v>72.532709062012003</v>
      </c>
      <c r="X245" s="57">
        <v>95.716358001316607</v>
      </c>
    </row>
    <row r="246" spans="1:25" x14ac:dyDescent="0.15">
      <c r="A246" s="6">
        <v>15</v>
      </c>
      <c r="C246" s="30"/>
      <c r="L246" s="3"/>
      <c r="M246" s="19">
        <v>14.381244591298875</v>
      </c>
      <c r="N246" s="19">
        <v>0.3214744963566224</v>
      </c>
      <c r="O246" s="19">
        <v>2.7662282562579552</v>
      </c>
      <c r="P246" s="19">
        <v>8.9538957788777047</v>
      </c>
      <c r="Q246" s="19">
        <v>7.1275053084054072</v>
      </c>
      <c r="R246" s="19">
        <v>7.4586028389751675</v>
      </c>
      <c r="S246" s="19">
        <v>8.807901685301692</v>
      </c>
      <c r="T246" s="19">
        <v>13.132842684243929</v>
      </c>
      <c r="U246" s="19">
        <v>26.945420641181954</v>
      </c>
      <c r="W246" s="56">
        <v>65.997219601807259</v>
      </c>
      <c r="X246" s="57">
        <v>91.962149227757237</v>
      </c>
    </row>
    <row r="247" spans="1:25" x14ac:dyDescent="0.15">
      <c r="A247" s="6"/>
      <c r="C247" s="30"/>
      <c r="L247" s="3"/>
      <c r="M247" s="19">
        <v>13.88530300118239</v>
      </c>
      <c r="N247" s="65">
        <v>0.37388230577907344</v>
      </c>
      <c r="O247" s="19">
        <v>3.1458229679846283</v>
      </c>
      <c r="P247" s="19">
        <v>9.8459424910856352</v>
      </c>
      <c r="Q247" s="19">
        <v>6.5302520430127666</v>
      </c>
      <c r="R247" s="19">
        <v>6.4651709448057613</v>
      </c>
      <c r="S247" s="19">
        <v>8.3819735916698583</v>
      </c>
      <c r="T247" s="19">
        <v>12.004397525976664</v>
      </c>
      <c r="U247" s="19">
        <v>24.452209853214253</v>
      </c>
      <c r="W247" s="56">
        <v>60.766188547856032</v>
      </c>
      <c r="X247" s="57">
        <v>96.298725287132086</v>
      </c>
      <c r="Y247" s="19"/>
    </row>
    <row r="248" spans="1:25" x14ac:dyDescent="0.15">
      <c r="A248" s="6"/>
      <c r="C248" s="30"/>
      <c r="L248" s="3"/>
      <c r="M248" s="19">
        <v>13.250337138171838</v>
      </c>
      <c r="N248" s="65">
        <v>0.37839621829536735</v>
      </c>
      <c r="O248" s="19">
        <v>2.4686226386707069</v>
      </c>
      <c r="P248" s="19">
        <v>9.8332933265008844</v>
      </c>
      <c r="Q248" s="19">
        <v>6.5817226562098856</v>
      </c>
      <c r="R248" s="19">
        <v>6.1324250359982342</v>
      </c>
      <c r="S248" s="19">
        <v>8.0516703882359248</v>
      </c>
      <c r="T248" s="19">
        <v>11.418614474120618</v>
      </c>
      <c r="U248" s="19">
        <v>21.998667655214682</v>
      </c>
      <c r="W248" s="56">
        <v>55.495562599213279</v>
      </c>
      <c r="X248" s="57">
        <v>92.670872872986877</v>
      </c>
      <c r="Y248" s="19"/>
    </row>
    <row r="249" spans="1:25" x14ac:dyDescent="0.15">
      <c r="A249" s="6"/>
      <c r="C249" s="30"/>
      <c r="L249" s="3"/>
      <c r="M249" s="19">
        <v>12.329648779791841</v>
      </c>
      <c r="N249" s="65">
        <v>0.33085597891136964</v>
      </c>
      <c r="O249" s="19">
        <v>2.6749696822660853</v>
      </c>
      <c r="P249" s="19">
        <v>10.141157261387253</v>
      </c>
      <c r="Q249" s="19">
        <v>6.0492102226321256</v>
      </c>
      <c r="R249" s="19">
        <v>5.5119221703795915</v>
      </c>
      <c r="S249" s="19">
        <v>7.1826324197920126</v>
      </c>
      <c r="T249" s="19">
        <v>10.047628945308526</v>
      </c>
      <c r="U249" s="19">
        <v>19.747632509416391</v>
      </c>
      <c r="W249" s="56">
        <v>51.168218735445301</v>
      </c>
      <c r="X249" s="57">
        <v>82.751264179057969</v>
      </c>
      <c r="Y249" s="19"/>
    </row>
    <row r="250" spans="1:25" x14ac:dyDescent="0.15">
      <c r="A250" s="6"/>
      <c r="C250" s="30"/>
      <c r="L250" s="3"/>
      <c r="M250" s="65">
        <v>11.46100482671579</v>
      </c>
      <c r="N250" s="65">
        <v>0.24983018122155387</v>
      </c>
      <c r="O250" s="65">
        <v>2.439767383643284</v>
      </c>
      <c r="P250" s="65">
        <v>9.2176379343495114</v>
      </c>
      <c r="Q250" s="65">
        <v>5.3624956145692639</v>
      </c>
      <c r="R250" s="65">
        <v>5.3186448740817571</v>
      </c>
      <c r="S250" s="65">
        <v>6.4750554019624085</v>
      </c>
      <c r="T250" s="65">
        <v>9.0687401881098211</v>
      </c>
      <c r="U250" s="65">
        <v>17.643078143265061</v>
      </c>
      <c r="W250" s="71">
        <v>45.42528966032711</v>
      </c>
      <c r="X250" s="88">
        <v>85.176846967041712</v>
      </c>
    </row>
    <row r="251" spans="1:25" x14ac:dyDescent="0.15">
      <c r="A251" s="6"/>
      <c r="C251" s="30"/>
      <c r="L251" s="3"/>
      <c r="M251" s="65">
        <v>10.098607964087735</v>
      </c>
      <c r="N251" s="65">
        <v>0.34593784481520995</v>
      </c>
      <c r="O251" s="65">
        <v>1.3143354036744612</v>
      </c>
      <c r="P251" s="65">
        <v>8.0839980132413842</v>
      </c>
      <c r="Q251" s="65">
        <v>4.8268565736861175</v>
      </c>
      <c r="R251" s="65">
        <v>4.03931424763711</v>
      </c>
      <c r="S251" s="65">
        <v>5.5401625510074188</v>
      </c>
      <c r="T251" s="65">
        <v>8.0491541818672587</v>
      </c>
      <c r="U251" s="65">
        <v>15.670784323678296</v>
      </c>
      <c r="V251" s="65"/>
      <c r="W251" s="71">
        <v>40.302454283885197</v>
      </c>
      <c r="X251" s="88">
        <v>72.720794801905882</v>
      </c>
    </row>
    <row r="252" spans="1:25" x14ac:dyDescent="0.15">
      <c r="A252" s="95"/>
      <c r="C252" s="30"/>
      <c r="L252" s="3"/>
      <c r="M252" s="96">
        <v>9.1783185788880814</v>
      </c>
      <c r="N252" s="96">
        <v>0.1961543068823309</v>
      </c>
      <c r="O252" s="96">
        <v>1.7563649410918782</v>
      </c>
      <c r="P252" s="96">
        <v>7.3562197193673358</v>
      </c>
      <c r="Q252" s="96">
        <v>4.2920318608237134</v>
      </c>
      <c r="R252" s="96">
        <v>3.5745465254877176</v>
      </c>
      <c r="S252" s="96">
        <v>4.9249123617408443</v>
      </c>
      <c r="T252" s="96">
        <v>7.0116103749029435</v>
      </c>
      <c r="U252" s="96">
        <v>13.678103742404868</v>
      </c>
      <c r="V252" s="65"/>
      <c r="W252" s="96">
        <v>36.460379703057761</v>
      </c>
      <c r="X252" s="97">
        <v>64.635407616687104</v>
      </c>
    </row>
    <row r="253" spans="1:25" ht="14.25" thickBot="1" x14ac:dyDescent="0.2">
      <c r="A253" s="95" t="s">
        <v>66</v>
      </c>
      <c r="C253" s="23"/>
      <c r="D253" s="18"/>
      <c r="E253" s="18"/>
      <c r="F253" s="18"/>
      <c r="G253" s="18"/>
      <c r="H253" s="18"/>
      <c r="I253" s="18"/>
      <c r="J253" s="18"/>
      <c r="K253" s="18"/>
      <c r="L253" s="24"/>
      <c r="M253" s="66">
        <v>8.1914870177256027</v>
      </c>
      <c r="N253" s="66">
        <v>0.24133542058592516</v>
      </c>
      <c r="O253" s="66">
        <v>1.2880222816970037</v>
      </c>
      <c r="P253" s="66">
        <v>6.1300053426507315</v>
      </c>
      <c r="Q253" s="66">
        <v>3.6829214074822318</v>
      </c>
      <c r="R253" s="66">
        <v>3.136447891192601</v>
      </c>
      <c r="S253" s="66">
        <v>4.1861876936932774</v>
      </c>
      <c r="T253" s="66">
        <v>6.1484553558053028</v>
      </c>
      <c r="U253" s="66">
        <v>12.623392747598134</v>
      </c>
      <c r="V253" s="70"/>
      <c r="W253" s="66">
        <v>32.574697266189929</v>
      </c>
      <c r="X253" s="80">
        <v>53.998362605830529</v>
      </c>
    </row>
    <row r="254" spans="1:25" x14ac:dyDescent="0.15">
      <c r="A254" s="6"/>
      <c r="L254" s="3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</row>
    <row r="255" spans="1:25" x14ac:dyDescent="0.15">
      <c r="L255" s="3"/>
      <c r="M255" t="s">
        <v>31</v>
      </c>
    </row>
    <row r="256" spans="1:25" ht="14.25" thickBot="1" x14ac:dyDescent="0.2">
      <c r="L256" s="3"/>
      <c r="M256" t="s">
        <v>1</v>
      </c>
      <c r="N256" t="s">
        <v>2</v>
      </c>
      <c r="O256" t="s">
        <v>3</v>
      </c>
      <c r="P256" t="s">
        <v>4</v>
      </c>
      <c r="Q256" t="s">
        <v>5</v>
      </c>
      <c r="R256" t="s">
        <v>6</v>
      </c>
      <c r="S256" t="s">
        <v>7</v>
      </c>
      <c r="T256" t="s">
        <v>8</v>
      </c>
      <c r="U256" t="s">
        <v>9</v>
      </c>
      <c r="V256" t="s">
        <v>23</v>
      </c>
      <c r="W256" t="s">
        <v>36</v>
      </c>
      <c r="X256" t="s">
        <v>35</v>
      </c>
    </row>
    <row r="257" spans="9:24" x14ac:dyDescent="0.15">
      <c r="L257">
        <v>98</v>
      </c>
      <c r="M257" s="33"/>
      <c r="N257" s="34"/>
      <c r="O257" s="34"/>
      <c r="P257" s="34"/>
      <c r="Q257" s="34"/>
      <c r="R257" s="34"/>
      <c r="S257" s="34"/>
      <c r="T257" s="34"/>
      <c r="U257" s="34"/>
      <c r="V257" s="34"/>
      <c r="W257" s="13"/>
      <c r="X257" s="14"/>
    </row>
    <row r="258" spans="9:24" x14ac:dyDescent="0.15">
      <c r="L258">
        <v>99</v>
      </c>
      <c r="M258" s="35">
        <f>+(M230-M229)*100/M229</f>
        <v>6.6186343738347162</v>
      </c>
      <c r="N258" s="36">
        <f t="shared" ref="N258:U258" si="34">+(N230-N229)*100/N229</f>
        <v>3.9182070481458844</v>
      </c>
      <c r="O258" s="36">
        <f t="shared" si="34"/>
        <v>8.2461343456357419</v>
      </c>
      <c r="P258" s="36">
        <f t="shared" si="34"/>
        <v>3.0635170085765231</v>
      </c>
      <c r="Q258" s="36">
        <f t="shared" si="34"/>
        <v>6.4224092874315915</v>
      </c>
      <c r="R258" s="36">
        <f t="shared" si="34"/>
        <v>3.4144996260297109</v>
      </c>
      <c r="S258" s="36">
        <f t="shared" si="34"/>
        <v>0.82978893895073569</v>
      </c>
      <c r="T258" s="36">
        <f t="shared" si="34"/>
        <v>-1.1728944795178811</v>
      </c>
      <c r="U258" s="36">
        <f t="shared" si="34"/>
        <v>8.8391906283280051</v>
      </c>
      <c r="V258" s="36">
        <f>+(V230-V229)*100/V229</f>
        <v>13.66459627329192</v>
      </c>
      <c r="W258" s="36"/>
      <c r="X258" s="37"/>
    </row>
    <row r="259" spans="9:24" x14ac:dyDescent="0.15">
      <c r="L259" s="5" t="s">
        <v>16</v>
      </c>
      <c r="M259" s="35">
        <f t="shared" ref="M259:V259" si="35">+(M231-M230)*100/M230</f>
        <v>-10.284133914795406</v>
      </c>
      <c r="N259" s="36">
        <f t="shared" si="35"/>
        <v>-20.17640317184982</v>
      </c>
      <c r="O259" s="36">
        <f t="shared" si="35"/>
        <v>-18.55833652421132</v>
      </c>
      <c r="P259" s="36">
        <f t="shared" si="35"/>
        <v>-5.7521787975388179</v>
      </c>
      <c r="Q259" s="36">
        <f t="shared" si="35"/>
        <v>-4.7376056736634782</v>
      </c>
      <c r="R259" s="36">
        <f t="shared" si="35"/>
        <v>-11.098931410971502</v>
      </c>
      <c r="S259" s="36">
        <f t="shared" si="35"/>
        <v>-12.163776688128975</v>
      </c>
      <c r="T259" s="36">
        <f t="shared" si="35"/>
        <v>-17.131593061546926</v>
      </c>
      <c r="U259" s="36">
        <f t="shared" si="35"/>
        <v>-14.677103718199609</v>
      </c>
      <c r="V259" s="36">
        <f t="shared" si="35"/>
        <v>-11.133879781420772</v>
      </c>
      <c r="W259" s="36"/>
      <c r="X259" s="37"/>
    </row>
    <row r="260" spans="9:24" x14ac:dyDescent="0.15">
      <c r="L260" s="5" t="s">
        <v>17</v>
      </c>
      <c r="M260" s="35">
        <f t="shared" ref="M260:V260" si="36">+(M232-M231)*100/M231</f>
        <v>-10.153144390412837</v>
      </c>
      <c r="N260" s="36">
        <f t="shared" si="36"/>
        <v>-10.563712937502812</v>
      </c>
      <c r="O260" s="36">
        <f t="shared" si="36"/>
        <v>0.44504701647557843</v>
      </c>
      <c r="P260" s="36">
        <f t="shared" si="36"/>
        <v>-12.225103868021092</v>
      </c>
      <c r="Q260" s="36">
        <f t="shared" si="36"/>
        <v>-10.670303108655407</v>
      </c>
      <c r="R260" s="36">
        <f t="shared" si="36"/>
        <v>-14.437374859327949</v>
      </c>
      <c r="S260" s="36">
        <f t="shared" si="36"/>
        <v>-10.98431404057157</v>
      </c>
      <c r="T260" s="36">
        <f t="shared" si="36"/>
        <v>-11.283112906774473</v>
      </c>
      <c r="U260" s="36">
        <f t="shared" si="36"/>
        <v>-13.646788990825693</v>
      </c>
      <c r="V260" s="36">
        <f t="shared" si="36"/>
        <v>-7.1483474250576462</v>
      </c>
      <c r="W260" s="36"/>
      <c r="X260" s="37"/>
    </row>
    <row r="261" spans="9:24" x14ac:dyDescent="0.15">
      <c r="L261" s="5" t="s">
        <v>18</v>
      </c>
      <c r="M261" s="35">
        <f t="shared" ref="M261:V261" si="37">+(M233-M232)*100/M232</f>
        <v>-7.6026240263488747</v>
      </c>
      <c r="N261" s="36">
        <f t="shared" si="37"/>
        <v>-19.718036539382247</v>
      </c>
      <c r="O261" s="36">
        <f t="shared" si="37"/>
        <v>-18.702045845805788</v>
      </c>
      <c r="P261" s="36">
        <f t="shared" si="37"/>
        <v>-6.2656118482552419</v>
      </c>
      <c r="Q261" s="36">
        <f t="shared" si="37"/>
        <v>-8.6963224279260718</v>
      </c>
      <c r="R261" s="36">
        <f t="shared" si="37"/>
        <v>-9.0518433747661291</v>
      </c>
      <c r="S261" s="36">
        <f t="shared" si="37"/>
        <v>-11.075692289830741</v>
      </c>
      <c r="T261" s="36">
        <f t="shared" si="37"/>
        <v>-12.521559856613184</v>
      </c>
      <c r="U261" s="36">
        <f t="shared" si="37"/>
        <v>-6.9057104913678655</v>
      </c>
      <c r="V261" s="36">
        <f t="shared" si="37"/>
        <v>-7.6158940397351014</v>
      </c>
      <c r="W261" s="36"/>
      <c r="X261" s="37"/>
    </row>
    <row r="262" spans="9:24" x14ac:dyDescent="0.15">
      <c r="L262" s="6" t="s">
        <v>19</v>
      </c>
      <c r="M262" s="35">
        <f t="shared" ref="M262:U262" si="38">+(M234-M233)*100/M233</f>
        <v>-3.7639070369663017</v>
      </c>
      <c r="N262" s="36">
        <f t="shared" si="38"/>
        <v>-17.163019880912699</v>
      </c>
      <c r="O262" s="36">
        <f t="shared" si="38"/>
        <v>-6.0849532528866197</v>
      </c>
      <c r="P262" s="36">
        <f t="shared" si="38"/>
        <v>-0.21382293369089139</v>
      </c>
      <c r="Q262" s="36">
        <f t="shared" si="38"/>
        <v>-3.6589381514671446</v>
      </c>
      <c r="R262" s="36">
        <f t="shared" si="38"/>
        <v>-7.4953438690679812</v>
      </c>
      <c r="S262" s="36">
        <f t="shared" si="38"/>
        <v>-6.7143274769290917</v>
      </c>
      <c r="T262" s="36">
        <f t="shared" si="38"/>
        <v>-8.7208303180154143</v>
      </c>
      <c r="U262" s="36">
        <f t="shared" si="38"/>
        <v>-7.5718817771748395</v>
      </c>
      <c r="V262" s="36"/>
      <c r="W262" s="36"/>
      <c r="X262" s="37"/>
    </row>
    <row r="263" spans="9:24" x14ac:dyDescent="0.15">
      <c r="L263" s="6" t="s">
        <v>24</v>
      </c>
      <c r="M263" s="35">
        <f t="shared" ref="M263:U263" si="39">+(M235-M234)*100/M234</f>
        <v>-6.0615232710963349</v>
      </c>
      <c r="N263" s="36">
        <f t="shared" si="39"/>
        <v>-6.9836091384533576</v>
      </c>
      <c r="O263" s="36">
        <f t="shared" si="39"/>
        <v>2.1342243890379979</v>
      </c>
      <c r="P263" s="36">
        <f t="shared" si="39"/>
        <v>-6.9920750935132743</v>
      </c>
      <c r="Q263" s="36">
        <f t="shared" si="39"/>
        <v>-3.964627361377413</v>
      </c>
      <c r="R263" s="36">
        <f t="shared" si="39"/>
        <v>-4.3647050066237805</v>
      </c>
      <c r="S263" s="36">
        <f t="shared" si="39"/>
        <v>-8.7127369916792858</v>
      </c>
      <c r="T263" s="36">
        <f t="shared" si="39"/>
        <v>-10.918401536633235</v>
      </c>
      <c r="U263" s="36">
        <f t="shared" si="39"/>
        <v>-8.8010167120146914</v>
      </c>
      <c r="V263" s="36"/>
      <c r="W263" s="36">
        <f t="shared" ref="W263:X269" si="40">+(W235-W234)*100/W234</f>
        <v>-6.8020026173799231</v>
      </c>
      <c r="X263" s="37">
        <f t="shared" si="40"/>
        <v>-4.3374320169018521</v>
      </c>
    </row>
    <row r="264" spans="9:24" x14ac:dyDescent="0.15">
      <c r="L264" s="6" t="s">
        <v>28</v>
      </c>
      <c r="M264" s="35">
        <f t="shared" ref="M264:U264" si="41">+(M236-M235)*100/M235</f>
        <v>-4.6948763163604852</v>
      </c>
      <c r="N264" s="36">
        <f t="shared" si="41"/>
        <v>1.9190158451007682</v>
      </c>
      <c r="O264" s="36">
        <f t="shared" si="41"/>
        <v>-2.5779755789311167</v>
      </c>
      <c r="P264" s="36">
        <f t="shared" si="41"/>
        <v>0.70184976237803887</v>
      </c>
      <c r="Q264" s="36">
        <f t="shared" si="41"/>
        <v>0.78325579505600817</v>
      </c>
      <c r="R264" s="36">
        <f t="shared" si="41"/>
        <v>-5.6525084525416123</v>
      </c>
      <c r="S264" s="36">
        <f t="shared" si="41"/>
        <v>-10.185903522531133</v>
      </c>
      <c r="T264" s="36">
        <f t="shared" si="41"/>
        <v>-9.9290596552657444</v>
      </c>
      <c r="U264" s="36">
        <f t="shared" si="41"/>
        <v>-13.859991777509872</v>
      </c>
      <c r="V264" s="36"/>
      <c r="W264" s="36">
        <f t="shared" si="40"/>
        <v>-7.7660551235420465</v>
      </c>
      <c r="X264" s="37">
        <f t="shared" si="40"/>
        <v>-8.725197713963734</v>
      </c>
    </row>
    <row r="265" spans="9:24" x14ac:dyDescent="0.15">
      <c r="L265" s="6" t="s">
        <v>30</v>
      </c>
      <c r="M265" s="45">
        <f t="shared" ref="M265:U265" si="42">+(M237-M236)*100/M236</f>
        <v>-6.9620866023819401</v>
      </c>
      <c r="N265" s="46">
        <f t="shared" si="42"/>
        <v>-27.496499421370167</v>
      </c>
      <c r="O265" s="46">
        <f t="shared" si="42"/>
        <v>-23.445572861969367</v>
      </c>
      <c r="P265" s="46">
        <f t="shared" si="42"/>
        <v>-12.609462585874452</v>
      </c>
      <c r="Q265" s="46">
        <f t="shared" si="42"/>
        <v>-14.428776531231494</v>
      </c>
      <c r="R265" s="46">
        <f t="shared" si="42"/>
        <v>-7.4640290037997863</v>
      </c>
      <c r="S265" s="46">
        <f t="shared" si="42"/>
        <v>-8.4038639255972623</v>
      </c>
      <c r="T265" s="46">
        <f t="shared" si="42"/>
        <v>-7.1798495023896036</v>
      </c>
      <c r="U265" s="46">
        <f t="shared" si="42"/>
        <v>-1.8377489614343283</v>
      </c>
      <c r="V265" s="46"/>
      <c r="W265" s="46">
        <f t="shared" si="40"/>
        <v>-3.3093890373489137</v>
      </c>
      <c r="X265" s="47">
        <f t="shared" si="40"/>
        <v>-2.3795961312472014</v>
      </c>
    </row>
    <row r="266" spans="9:24" x14ac:dyDescent="0.15">
      <c r="L266" s="6" t="s">
        <v>32</v>
      </c>
      <c r="M266" s="45">
        <f t="shared" ref="M266:U266" si="43">+(M238-M237)*100/M237</f>
        <v>-4.0678227578747306</v>
      </c>
      <c r="N266" s="46">
        <f t="shared" si="43"/>
        <v>9.1254220703665077</v>
      </c>
      <c r="O266" s="46">
        <f t="shared" si="43"/>
        <v>-3.9461199350828733</v>
      </c>
      <c r="P266" s="46">
        <f t="shared" si="43"/>
        <v>-5.1922883389896937</v>
      </c>
      <c r="Q266" s="46">
        <f t="shared" si="43"/>
        <v>-3.8672162458027697</v>
      </c>
      <c r="R266" s="46">
        <f t="shared" si="43"/>
        <v>-6.6525978801147723</v>
      </c>
      <c r="S266" s="46">
        <f t="shared" si="43"/>
        <v>-5.2816971759880484</v>
      </c>
      <c r="T266" s="46">
        <f t="shared" si="43"/>
        <v>-6.9359174257639511</v>
      </c>
      <c r="U266" s="46">
        <f t="shared" si="43"/>
        <v>-9.2981794849704453</v>
      </c>
      <c r="V266" s="46"/>
      <c r="W266" s="46">
        <f t="shared" si="40"/>
        <v>-1.8439114306227649</v>
      </c>
      <c r="X266" s="47">
        <f t="shared" si="40"/>
        <v>-6.2924867754257567</v>
      </c>
    </row>
    <row r="267" spans="9:24" x14ac:dyDescent="0.15">
      <c r="L267" s="6" t="s">
        <v>49</v>
      </c>
      <c r="M267" s="45">
        <f t="shared" ref="M267:U267" si="44">+(M239-M238)*100/M238</f>
        <v>-2.1165561289036292</v>
      </c>
      <c r="N267" s="46">
        <f t="shared" si="44"/>
        <v>3.9615056271642848</v>
      </c>
      <c r="O267" s="46">
        <f t="shared" si="44"/>
        <v>-3.0200203693150796</v>
      </c>
      <c r="P267" s="46">
        <f t="shared" si="44"/>
        <v>-3.3332305625298471</v>
      </c>
      <c r="Q267" s="46">
        <f t="shared" si="44"/>
        <v>-5.8323679225641882</v>
      </c>
      <c r="R267" s="46">
        <f t="shared" si="44"/>
        <v>-2.362573181752226</v>
      </c>
      <c r="S267" s="46">
        <f t="shared" si="44"/>
        <v>-3.9888451568245928</v>
      </c>
      <c r="T267" s="46">
        <f t="shared" si="44"/>
        <v>-4.1835795073091546</v>
      </c>
      <c r="U267" s="46">
        <f t="shared" si="44"/>
        <v>-3.7397637298094479</v>
      </c>
      <c r="V267" s="46"/>
      <c r="W267" s="46">
        <f t="shared" si="40"/>
        <v>-3.4299760192350632</v>
      </c>
      <c r="X267" s="47">
        <f t="shared" si="40"/>
        <v>-2.0503918230521876</v>
      </c>
    </row>
    <row r="268" spans="9:24" x14ac:dyDescent="0.15">
      <c r="L268" s="6" t="s">
        <v>51</v>
      </c>
      <c r="M268" s="45">
        <f t="shared" ref="M268:U268" si="45">+(M240-M239)*100/M239</f>
        <v>-2.2432109102671189</v>
      </c>
      <c r="N268" s="46">
        <f t="shared" si="45"/>
        <v>-22.412533775949029</v>
      </c>
      <c r="O268" s="46">
        <f t="shared" si="45"/>
        <v>8.1493909754410758</v>
      </c>
      <c r="P268" s="46">
        <f t="shared" si="45"/>
        <v>-4.7360828165070963</v>
      </c>
      <c r="Q268" s="46">
        <f t="shared" si="45"/>
        <v>-0.82287553986058815</v>
      </c>
      <c r="R268" s="46">
        <f t="shared" si="45"/>
        <v>-4.9454134158188987</v>
      </c>
      <c r="S268" s="46">
        <f t="shared" si="45"/>
        <v>-6.9140022853086913</v>
      </c>
      <c r="T268" s="46">
        <f t="shared" si="45"/>
        <v>-5.4937538820479599</v>
      </c>
      <c r="U268" s="46">
        <f t="shared" si="45"/>
        <v>-7.2481908351335305</v>
      </c>
      <c r="V268" s="46"/>
      <c r="W268" s="46">
        <f t="shared" si="40"/>
        <v>-0.46438535569588474</v>
      </c>
      <c r="X268" s="47">
        <f t="shared" si="40"/>
        <v>6.5627350192390068</v>
      </c>
    </row>
    <row r="269" spans="9:24" ht="14.25" thickBot="1" x14ac:dyDescent="0.2">
      <c r="L269" s="6" t="s">
        <v>53</v>
      </c>
      <c r="M269" s="90">
        <f>+(M241-M240)*100/M240</f>
        <v>-4.1715265426839618</v>
      </c>
      <c r="N269" s="91">
        <f t="shared" ref="N269:U269" si="46">+(N241-N240)*100/N240</f>
        <v>23.466639640627065</v>
      </c>
      <c r="O269" s="91">
        <f t="shared" si="46"/>
        <v>24.35178537197001</v>
      </c>
      <c r="P269" s="91">
        <f t="shared" si="46"/>
        <v>-7.3142150655830251</v>
      </c>
      <c r="Q269" s="91">
        <f t="shared" si="46"/>
        <v>-6.3418745039571549</v>
      </c>
      <c r="R269" s="91">
        <f t="shared" si="46"/>
        <v>-5.7957602029297561</v>
      </c>
      <c r="S269" s="91">
        <f t="shared" si="46"/>
        <v>-8.6895959529749049</v>
      </c>
      <c r="T269" s="91">
        <f t="shared" si="46"/>
        <v>-2.8316913830807287</v>
      </c>
      <c r="U269" s="91">
        <f t="shared" si="46"/>
        <v>-4.1647294072784442</v>
      </c>
      <c r="V269" s="91"/>
      <c r="W269" s="91">
        <f t="shared" si="40"/>
        <v>-4.8622661947976837</v>
      </c>
      <c r="X269" s="92">
        <f t="shared" si="40"/>
        <v>-0.82630365324618049</v>
      </c>
    </row>
    <row r="270" spans="9:24" x14ac:dyDescent="0.15">
      <c r="I270" t="s">
        <v>54</v>
      </c>
      <c r="L270" s="5" t="s">
        <v>50</v>
      </c>
      <c r="M270" s="36">
        <f>AVERAGE(M265:M269)</f>
        <v>-3.912240588422276</v>
      </c>
      <c r="N270" s="36">
        <f t="shared" ref="N270:X270" si="47">AVERAGE(N265:N269)</f>
        <v>-2.6710931718322684</v>
      </c>
      <c r="O270" s="36">
        <f t="shared" si="47"/>
        <v>0.41789263620875305</v>
      </c>
      <c r="P270" s="36">
        <f t="shared" si="47"/>
        <v>-6.6370558738968226</v>
      </c>
      <c r="Q270" s="36">
        <f t="shared" si="47"/>
        <v>-6.258622148683239</v>
      </c>
      <c r="R270" s="36">
        <f t="shared" si="47"/>
        <v>-5.4440747368830875</v>
      </c>
      <c r="S270" s="36">
        <f t="shared" si="47"/>
        <v>-6.6556008993386993</v>
      </c>
      <c r="T270" s="36">
        <f t="shared" si="47"/>
        <v>-5.3249583401182798</v>
      </c>
      <c r="U270" s="36">
        <f t="shared" si="47"/>
        <v>-5.2577224837252396</v>
      </c>
      <c r="V270" s="36"/>
      <c r="W270" s="36">
        <f t="shared" si="47"/>
        <v>-2.7819856075400624</v>
      </c>
      <c r="X270" s="36">
        <f t="shared" si="47"/>
        <v>-0.99720867274646385</v>
      </c>
    </row>
    <row r="271" spans="9:24" x14ac:dyDescent="0.15">
      <c r="L271" s="5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</row>
    <row r="273" spans="12:24" x14ac:dyDescent="0.15">
      <c r="M273" t="s">
        <v>38</v>
      </c>
      <c r="N273" t="s">
        <v>39</v>
      </c>
      <c r="O273" t="s">
        <v>40</v>
      </c>
      <c r="P273" t="s">
        <v>41</v>
      </c>
      <c r="Q273" t="s">
        <v>42</v>
      </c>
      <c r="R273" t="s">
        <v>43</v>
      </c>
      <c r="S273" t="s">
        <v>44</v>
      </c>
      <c r="T273" t="s">
        <v>45</v>
      </c>
      <c r="U273" t="s">
        <v>46</v>
      </c>
      <c r="V273" t="s">
        <v>47</v>
      </c>
      <c r="W273" t="s">
        <v>48</v>
      </c>
    </row>
    <row r="274" spans="12:24" x14ac:dyDescent="0.15">
      <c r="L274" s="4">
        <v>2010</v>
      </c>
      <c r="M274" s="4">
        <v>23261</v>
      </c>
      <c r="N274" s="4">
        <v>89</v>
      </c>
      <c r="O274" s="4">
        <v>251</v>
      </c>
      <c r="P274" s="4">
        <v>1536</v>
      </c>
      <c r="Q274" s="4">
        <v>1921</v>
      </c>
      <c r="R274" s="4">
        <v>1764</v>
      </c>
      <c r="S274" s="4">
        <v>2171</v>
      </c>
      <c r="T274" s="4">
        <v>3610</v>
      </c>
      <c r="U274" s="4">
        <v>5000</v>
      </c>
      <c r="V274" s="4">
        <v>5623</v>
      </c>
      <c r="W274" s="4">
        <v>1296</v>
      </c>
    </row>
    <row r="275" spans="12:24" x14ac:dyDescent="0.15">
      <c r="M275">
        <v>100</v>
      </c>
      <c r="N275" s="19">
        <f>+N274*100/$M274</f>
        <v>0.38261467692704526</v>
      </c>
      <c r="O275" s="19">
        <f t="shared" ref="O275:V275" si="48">+O274*100/$M274</f>
        <v>1.0790593697605435</v>
      </c>
      <c r="P275" s="19">
        <f t="shared" si="48"/>
        <v>6.6033274579768708</v>
      </c>
      <c r="Q275" s="19">
        <f t="shared" si="48"/>
        <v>8.2584583637848752</v>
      </c>
      <c r="R275" s="19">
        <f t="shared" si="48"/>
        <v>7.5835088775203126</v>
      </c>
      <c r="S275" s="19">
        <f t="shared" si="48"/>
        <v>9.3332186922316325</v>
      </c>
      <c r="T275" s="19">
        <f t="shared" si="48"/>
        <v>15.519539142771162</v>
      </c>
      <c r="U275" s="19">
        <f t="shared" si="48"/>
        <v>21.495206568935128</v>
      </c>
      <c r="V275" s="19">
        <f t="shared" si="48"/>
        <v>24.173509307424446</v>
      </c>
      <c r="W275" s="19">
        <f>+W274*100/$M274</f>
        <v>5.5715575426679846</v>
      </c>
    </row>
    <row r="276" spans="12:24" x14ac:dyDescent="0.15">
      <c r="O276" s="36">
        <f>+N275+O275</f>
        <v>1.4616740466875888</v>
      </c>
      <c r="P276" s="36">
        <f>+O276+P275</f>
        <v>8.0650015046644601</v>
      </c>
      <c r="Q276" s="36">
        <f t="shared" ref="Q276:W276" si="49">+P276+Q275</f>
        <v>16.323459868449333</v>
      </c>
      <c r="R276" s="36">
        <f t="shared" si="49"/>
        <v>23.906968745969646</v>
      </c>
      <c r="S276" s="36">
        <f t="shared" si="49"/>
        <v>33.240187438201275</v>
      </c>
      <c r="T276" s="36">
        <f t="shared" si="49"/>
        <v>48.759726580972441</v>
      </c>
      <c r="U276" s="36">
        <f t="shared" si="49"/>
        <v>70.254933149907572</v>
      </c>
      <c r="V276" s="36">
        <f t="shared" si="49"/>
        <v>94.428442457332011</v>
      </c>
      <c r="W276" s="36">
        <f t="shared" si="49"/>
        <v>100</v>
      </c>
    </row>
    <row r="278" spans="12:24" x14ac:dyDescent="0.15">
      <c r="U278" s="43" t="s">
        <v>52</v>
      </c>
      <c r="X278" s="36"/>
    </row>
    <row r="279" spans="12:24" x14ac:dyDescent="0.15">
      <c r="U279" s="44">
        <f>70+10*((50-T276)/(U276-T276))</f>
        <v>70.576999999999998</v>
      </c>
      <c r="X279" s="36"/>
    </row>
  </sheetData>
  <phoneticPr fontId="2"/>
  <pageMargins left="0.78700000000000003" right="0.78700000000000003" top="0.98399999999999999" bottom="0.98399999999999999" header="0.51200000000000001" footer="0.51200000000000001"/>
  <pageSetup paperSize="9"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A228"/>
  <sheetViews>
    <sheetView topLeftCell="H148" zoomScale="80" zoomScaleNormal="80" workbookViewId="0">
      <selection activeCell="T201" sqref="T201"/>
    </sheetView>
  </sheetViews>
  <sheetFormatPr defaultRowHeight="13.5" x14ac:dyDescent="0.15"/>
  <cols>
    <col min="12" max="12" width="10" customWidth="1"/>
    <col min="13" max="13" width="7.625" customWidth="1"/>
    <col min="14" max="14" width="11.375" customWidth="1"/>
    <col min="15" max="15" width="10.25" customWidth="1"/>
    <col min="16" max="16" width="9.625" customWidth="1"/>
    <col min="17" max="17" width="11" customWidth="1"/>
    <col min="18" max="18" width="11.25" customWidth="1"/>
    <col min="19" max="19" width="10.625" customWidth="1"/>
    <col min="20" max="20" width="10" customWidth="1"/>
    <col min="21" max="21" width="10.5" customWidth="1"/>
    <col min="22" max="22" width="10.625" customWidth="1"/>
    <col min="23" max="23" width="12" bestFit="1" customWidth="1"/>
    <col min="24" max="26" width="13.125" bestFit="1" customWidth="1"/>
  </cols>
  <sheetData>
    <row r="3" spans="1:24" x14ac:dyDescent="0.15">
      <c r="A3" t="s">
        <v>13</v>
      </c>
      <c r="M3" t="s">
        <v>13</v>
      </c>
    </row>
    <row r="4" spans="1:24" x14ac:dyDescent="0.1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23</v>
      </c>
      <c r="L4" t="s">
        <v>37</v>
      </c>
      <c r="N4" t="s">
        <v>1</v>
      </c>
      <c r="O4" t="s">
        <v>2</v>
      </c>
      <c r="P4" t="s">
        <v>3</v>
      </c>
      <c r="Q4" t="s">
        <v>4</v>
      </c>
      <c r="R4" t="s">
        <v>5</v>
      </c>
      <c r="S4" t="s">
        <v>6</v>
      </c>
      <c r="T4" t="s">
        <v>7</v>
      </c>
      <c r="U4" t="s">
        <v>8</v>
      </c>
      <c r="V4" t="s">
        <v>9</v>
      </c>
      <c r="W4" t="s">
        <v>23</v>
      </c>
      <c r="X4" t="s">
        <v>37</v>
      </c>
    </row>
    <row r="5" spans="1:24" x14ac:dyDescent="0.15">
      <c r="A5">
        <v>75</v>
      </c>
      <c r="B5">
        <v>13703</v>
      </c>
      <c r="C5">
        <v>73</v>
      </c>
      <c r="D5">
        <v>290</v>
      </c>
      <c r="E5">
        <v>2109</v>
      </c>
      <c r="F5">
        <v>2135</v>
      </c>
      <c r="G5">
        <v>2699</v>
      </c>
      <c r="H5">
        <v>2381</v>
      </c>
      <c r="I5">
        <v>2315</v>
      </c>
      <c r="J5">
        <v>1701</v>
      </c>
      <c r="M5">
        <v>75</v>
      </c>
    </row>
    <row r="6" spans="1:24" x14ac:dyDescent="0.15">
      <c r="A6">
        <v>76</v>
      </c>
      <c r="B6">
        <v>13360</v>
      </c>
      <c r="C6">
        <v>65</v>
      </c>
      <c r="D6">
        <v>293</v>
      </c>
      <c r="E6">
        <v>2044</v>
      </c>
      <c r="F6">
        <v>1970</v>
      </c>
      <c r="G6">
        <v>2622</v>
      </c>
      <c r="H6">
        <v>2375</v>
      </c>
      <c r="I6">
        <v>2266</v>
      </c>
      <c r="J6">
        <v>1725</v>
      </c>
      <c r="M6">
        <v>76</v>
      </c>
    </row>
    <row r="7" spans="1:24" x14ac:dyDescent="0.15">
      <c r="A7">
        <v>77</v>
      </c>
      <c r="B7">
        <v>13373</v>
      </c>
      <c r="C7">
        <v>78</v>
      </c>
      <c r="D7">
        <v>266</v>
      </c>
      <c r="E7">
        <v>1862</v>
      </c>
      <c r="F7">
        <v>2049</v>
      </c>
      <c r="G7">
        <v>2562</v>
      </c>
      <c r="H7">
        <v>2366</v>
      </c>
      <c r="I7">
        <v>2411</v>
      </c>
      <c r="J7">
        <v>1779</v>
      </c>
      <c r="M7">
        <v>77</v>
      </c>
    </row>
    <row r="8" spans="1:24" x14ac:dyDescent="0.15">
      <c r="A8">
        <v>78</v>
      </c>
      <c r="B8">
        <v>13198</v>
      </c>
      <c r="C8">
        <v>63</v>
      </c>
      <c r="D8">
        <v>241</v>
      </c>
      <c r="E8">
        <v>1635</v>
      </c>
      <c r="F8">
        <v>1913</v>
      </c>
      <c r="G8">
        <v>2530</v>
      </c>
      <c r="H8">
        <v>2482</v>
      </c>
      <c r="I8">
        <v>2426</v>
      </c>
      <c r="J8">
        <v>1908</v>
      </c>
      <c r="M8">
        <v>78</v>
      </c>
    </row>
    <row r="9" spans="1:24" x14ac:dyDescent="0.15">
      <c r="A9">
        <v>79</v>
      </c>
      <c r="B9">
        <v>12806</v>
      </c>
      <c r="C9">
        <v>44</v>
      </c>
      <c r="D9">
        <v>197</v>
      </c>
      <c r="E9">
        <v>1452</v>
      </c>
      <c r="F9">
        <v>1910</v>
      </c>
      <c r="G9">
        <v>2251</v>
      </c>
      <c r="H9">
        <v>2472</v>
      </c>
      <c r="I9">
        <v>2326</v>
      </c>
      <c r="J9">
        <v>2154</v>
      </c>
      <c r="M9">
        <v>79</v>
      </c>
    </row>
    <row r="10" spans="1:24" x14ac:dyDescent="0.15">
      <c r="A10">
        <v>80</v>
      </c>
      <c r="B10">
        <v>12291</v>
      </c>
      <c r="C10">
        <v>36</v>
      </c>
      <c r="D10">
        <v>174</v>
      </c>
      <c r="E10">
        <v>1210</v>
      </c>
      <c r="F10">
        <v>1842</v>
      </c>
      <c r="G10">
        <v>2104</v>
      </c>
      <c r="H10">
        <v>2450</v>
      </c>
      <c r="I10">
        <v>2282</v>
      </c>
      <c r="J10">
        <v>2191</v>
      </c>
      <c r="M10">
        <v>80</v>
      </c>
    </row>
    <row r="11" spans="1:24" x14ac:dyDescent="0.15">
      <c r="A11">
        <v>81</v>
      </c>
      <c r="B11">
        <v>12214</v>
      </c>
      <c r="C11">
        <v>45</v>
      </c>
      <c r="D11">
        <v>180</v>
      </c>
      <c r="E11">
        <v>1106</v>
      </c>
      <c r="F11">
        <v>1740</v>
      </c>
      <c r="G11">
        <v>2100</v>
      </c>
      <c r="H11">
        <v>2535</v>
      </c>
      <c r="I11">
        <v>2278</v>
      </c>
      <c r="J11">
        <v>2229</v>
      </c>
      <c r="M11">
        <v>81</v>
      </c>
    </row>
    <row r="12" spans="1:24" x14ac:dyDescent="0.15">
      <c r="A12">
        <v>82</v>
      </c>
      <c r="B12">
        <v>12649</v>
      </c>
      <c r="C12">
        <v>39</v>
      </c>
      <c r="D12">
        <v>165</v>
      </c>
      <c r="E12">
        <v>1159</v>
      </c>
      <c r="F12">
        <v>1641</v>
      </c>
      <c r="G12">
        <v>2067</v>
      </c>
      <c r="H12">
        <v>2702</v>
      </c>
      <c r="I12">
        <v>2323</v>
      </c>
      <c r="J12">
        <v>2553</v>
      </c>
      <c r="M12">
        <v>82</v>
      </c>
    </row>
    <row r="13" spans="1:24" x14ac:dyDescent="0.15">
      <c r="A13">
        <v>83</v>
      </c>
      <c r="B13">
        <v>13010</v>
      </c>
      <c r="C13">
        <v>35</v>
      </c>
      <c r="D13">
        <v>178</v>
      </c>
      <c r="E13">
        <v>1046</v>
      </c>
      <c r="F13">
        <v>1637</v>
      </c>
      <c r="G13">
        <v>2098</v>
      </c>
      <c r="H13">
        <v>2787</v>
      </c>
      <c r="I13">
        <v>2466</v>
      </c>
      <c r="J13">
        <v>2763</v>
      </c>
      <c r="M13">
        <v>83</v>
      </c>
    </row>
    <row r="14" spans="1:24" x14ac:dyDescent="0.15">
      <c r="A14">
        <v>84</v>
      </c>
      <c r="B14">
        <v>13277</v>
      </c>
      <c r="C14">
        <v>32</v>
      </c>
      <c r="D14">
        <v>219</v>
      </c>
      <c r="E14">
        <v>1042</v>
      </c>
      <c r="F14">
        <v>1560</v>
      </c>
      <c r="G14">
        <v>2082</v>
      </c>
      <c r="H14">
        <v>2871</v>
      </c>
      <c r="I14">
        <v>2505</v>
      </c>
      <c r="J14">
        <v>2966</v>
      </c>
      <c r="M14">
        <v>84</v>
      </c>
    </row>
    <row r="15" spans="1:24" x14ac:dyDescent="0.15">
      <c r="A15">
        <v>85</v>
      </c>
      <c r="B15">
        <v>13808</v>
      </c>
      <c r="C15">
        <v>30</v>
      </c>
      <c r="D15">
        <v>214</v>
      </c>
      <c r="E15">
        <v>1087</v>
      </c>
      <c r="F15">
        <v>1558</v>
      </c>
      <c r="G15">
        <v>2042</v>
      </c>
      <c r="H15">
        <v>2852</v>
      </c>
      <c r="I15">
        <v>2648</v>
      </c>
      <c r="J15">
        <v>3377</v>
      </c>
      <c r="M15">
        <v>85</v>
      </c>
    </row>
    <row r="16" spans="1:24" x14ac:dyDescent="0.15">
      <c r="A16">
        <v>86</v>
      </c>
      <c r="B16">
        <v>13745</v>
      </c>
      <c r="C16">
        <v>47</v>
      </c>
      <c r="D16">
        <v>211</v>
      </c>
      <c r="E16">
        <v>1012</v>
      </c>
      <c r="F16">
        <v>1511</v>
      </c>
      <c r="G16">
        <v>1971</v>
      </c>
      <c r="H16">
        <v>2827</v>
      </c>
      <c r="I16">
        <v>2763</v>
      </c>
      <c r="J16">
        <v>3403</v>
      </c>
      <c r="M16">
        <v>86</v>
      </c>
    </row>
    <row r="17" spans="1:25" x14ac:dyDescent="0.15">
      <c r="A17">
        <v>87</v>
      </c>
      <c r="B17">
        <v>14405</v>
      </c>
      <c r="C17">
        <v>23</v>
      </c>
      <c r="D17">
        <v>256</v>
      </c>
      <c r="E17">
        <v>1042</v>
      </c>
      <c r="F17">
        <v>1544</v>
      </c>
      <c r="G17">
        <v>1992</v>
      </c>
      <c r="H17">
        <v>3020</v>
      </c>
      <c r="I17">
        <v>2781</v>
      </c>
      <c r="J17" s="8">
        <f>1456+1213</f>
        <v>2669</v>
      </c>
      <c r="K17" s="8">
        <f>728+291+57</f>
        <v>1076</v>
      </c>
      <c r="M17">
        <v>87</v>
      </c>
    </row>
    <row r="18" spans="1:25" x14ac:dyDescent="0.15">
      <c r="A18">
        <v>88</v>
      </c>
      <c r="B18">
        <v>14592</v>
      </c>
      <c r="C18">
        <v>34</v>
      </c>
      <c r="D18">
        <v>200</v>
      </c>
      <c r="E18">
        <v>1106</v>
      </c>
      <c r="F18">
        <v>1412</v>
      </c>
      <c r="G18">
        <v>2048</v>
      </c>
      <c r="H18">
        <v>2924</v>
      </c>
      <c r="I18">
        <v>2967</v>
      </c>
      <c r="J18" s="8">
        <f>1412+1293</f>
        <v>2705</v>
      </c>
      <c r="K18" s="8">
        <f>790+325+81</f>
        <v>1196</v>
      </c>
      <c r="M18">
        <v>88</v>
      </c>
    </row>
    <row r="19" spans="1:25" x14ac:dyDescent="0.15">
      <c r="A19">
        <v>89</v>
      </c>
      <c r="B19">
        <v>14710</v>
      </c>
      <c r="C19">
        <v>31</v>
      </c>
      <c r="D19">
        <v>223</v>
      </c>
      <c r="E19">
        <v>1100</v>
      </c>
      <c r="F19">
        <v>1371</v>
      </c>
      <c r="G19">
        <v>2051</v>
      </c>
      <c r="H19">
        <v>2763</v>
      </c>
      <c r="I19">
        <v>3067</v>
      </c>
      <c r="J19" s="8">
        <f>1432+1433</f>
        <v>2865</v>
      </c>
      <c r="K19" s="8">
        <f>786+368+85</f>
        <v>1239</v>
      </c>
      <c r="M19">
        <v>89</v>
      </c>
    </row>
    <row r="20" spans="1:25" x14ac:dyDescent="0.15">
      <c r="A20">
        <v>90</v>
      </c>
      <c r="B20">
        <v>15498</v>
      </c>
      <c r="C20">
        <v>26</v>
      </c>
      <c r="D20">
        <v>223</v>
      </c>
      <c r="E20">
        <v>1132</v>
      </c>
      <c r="F20">
        <v>1247</v>
      </c>
      <c r="G20">
        <v>2283</v>
      </c>
      <c r="H20">
        <v>2845</v>
      </c>
      <c r="I20">
        <v>3403</v>
      </c>
      <c r="J20" s="8">
        <f>1485+1445</f>
        <v>2930</v>
      </c>
      <c r="K20" s="8">
        <f>964+340+105</f>
        <v>1409</v>
      </c>
      <c r="M20">
        <v>90</v>
      </c>
    </row>
    <row r="21" spans="1:25" x14ac:dyDescent="0.15">
      <c r="A21">
        <v>91</v>
      </c>
      <c r="B21">
        <v>15285</v>
      </c>
      <c r="C21">
        <v>26</v>
      </c>
      <c r="D21">
        <v>188</v>
      </c>
      <c r="E21">
        <v>1097</v>
      </c>
      <c r="F21">
        <v>1166</v>
      </c>
      <c r="G21">
        <v>2262</v>
      </c>
      <c r="H21">
        <v>2722</v>
      </c>
      <c r="I21">
        <v>3426</v>
      </c>
      <c r="J21" s="8">
        <f>1434+1482</f>
        <v>2916</v>
      </c>
      <c r="K21" s="8">
        <f>970+414+98</f>
        <v>1482</v>
      </c>
      <c r="M21">
        <v>91</v>
      </c>
    </row>
    <row r="22" spans="1:25" x14ac:dyDescent="0.15">
      <c r="A22">
        <v>92</v>
      </c>
      <c r="B22">
        <v>15540</v>
      </c>
      <c r="C22">
        <v>26</v>
      </c>
      <c r="D22">
        <v>182</v>
      </c>
      <c r="E22">
        <v>1121</v>
      </c>
      <c r="F22">
        <v>1117</v>
      </c>
      <c r="G22">
        <v>2252</v>
      </c>
      <c r="H22">
        <v>2721</v>
      </c>
      <c r="I22">
        <v>3453</v>
      </c>
      <c r="J22" s="8">
        <f>1549+1462</f>
        <v>3011</v>
      </c>
      <c r="K22" s="8">
        <f>1115+425+117</f>
        <v>1657</v>
      </c>
      <c r="M22">
        <v>92</v>
      </c>
    </row>
    <row r="23" spans="1:25" x14ac:dyDescent="0.15">
      <c r="A23">
        <v>93</v>
      </c>
      <c r="B23">
        <v>15210</v>
      </c>
      <c r="C23">
        <v>28</v>
      </c>
      <c r="D23">
        <v>138</v>
      </c>
      <c r="E23">
        <v>1176</v>
      </c>
      <c r="F23">
        <v>1069</v>
      </c>
      <c r="G23">
        <v>2061</v>
      </c>
      <c r="H23">
        <v>2623</v>
      </c>
      <c r="I23">
        <v>3402</v>
      </c>
      <c r="J23" s="8">
        <f>1534+1469</f>
        <v>3003</v>
      </c>
      <c r="K23" s="8">
        <f>1052+528+130</f>
        <v>1710</v>
      </c>
      <c r="M23">
        <v>93</v>
      </c>
    </row>
    <row r="24" spans="1:25" x14ac:dyDescent="0.15">
      <c r="A24">
        <v>94</v>
      </c>
      <c r="B24">
        <v>14777</v>
      </c>
      <c r="C24">
        <v>27</v>
      </c>
      <c r="D24">
        <v>144</v>
      </c>
      <c r="E24">
        <v>1058</v>
      </c>
      <c r="F24">
        <v>1031</v>
      </c>
      <c r="G24">
        <v>1865</v>
      </c>
      <c r="H24">
        <v>2570</v>
      </c>
      <c r="I24">
        <v>3281</v>
      </c>
      <c r="J24" s="8">
        <f>1638+1399</f>
        <v>3037</v>
      </c>
      <c r="K24" s="8">
        <f>1121+510+133</f>
        <v>1764</v>
      </c>
      <c r="M24">
        <v>94</v>
      </c>
    </row>
    <row r="25" spans="1:25" x14ac:dyDescent="0.15">
      <c r="A25">
        <v>95</v>
      </c>
      <c r="B25">
        <v>15103</v>
      </c>
      <c r="C25">
        <v>29</v>
      </c>
      <c r="D25">
        <v>109</v>
      </c>
      <c r="E25">
        <v>1072</v>
      </c>
      <c r="F25">
        <v>1075</v>
      </c>
      <c r="G25">
        <v>1934</v>
      </c>
      <c r="H25">
        <v>2646</v>
      </c>
      <c r="I25">
        <v>3260</v>
      </c>
      <c r="J25" s="8">
        <f>1683+1469</f>
        <v>3152</v>
      </c>
      <c r="K25" s="8">
        <f>1165+514+147</f>
        <v>1826</v>
      </c>
      <c r="M25">
        <v>95</v>
      </c>
    </row>
    <row r="26" spans="1:25" x14ac:dyDescent="0.15">
      <c r="A26">
        <v>96</v>
      </c>
      <c r="B26">
        <v>15035</v>
      </c>
      <c r="C26">
        <v>27</v>
      </c>
      <c r="D26">
        <v>123</v>
      </c>
      <c r="E26">
        <v>1141</v>
      </c>
      <c r="F26">
        <v>1008</v>
      </c>
      <c r="G26">
        <v>2004</v>
      </c>
      <c r="H26">
        <v>2544</v>
      </c>
      <c r="I26">
        <v>3178</v>
      </c>
      <c r="J26" s="8">
        <f>1709+1412</f>
        <v>3121</v>
      </c>
      <c r="K26" s="8">
        <f>1170+549+170</f>
        <v>1889</v>
      </c>
      <c r="M26">
        <v>96</v>
      </c>
    </row>
    <row r="27" spans="1:25" x14ac:dyDescent="0.15">
      <c r="A27">
        <v>97</v>
      </c>
      <c r="B27">
        <v>15967</v>
      </c>
      <c r="C27">
        <v>20</v>
      </c>
      <c r="D27">
        <v>124</v>
      </c>
      <c r="E27">
        <v>1169</v>
      </c>
      <c r="F27">
        <v>1077</v>
      </c>
      <c r="G27">
        <v>1900</v>
      </c>
      <c r="H27">
        <v>2683</v>
      </c>
      <c r="I27">
        <v>3266</v>
      </c>
      <c r="J27" s="8">
        <f>1810+1635</f>
        <v>3445</v>
      </c>
      <c r="K27" s="8">
        <f>1305+760+218</f>
        <v>2283</v>
      </c>
      <c r="M27">
        <v>97</v>
      </c>
    </row>
    <row r="28" spans="1:25" x14ac:dyDescent="0.15">
      <c r="A28">
        <v>98</v>
      </c>
      <c r="B28" s="10">
        <v>16294</v>
      </c>
      <c r="C28" s="10">
        <v>23</v>
      </c>
      <c r="D28" s="10">
        <v>141</v>
      </c>
      <c r="E28" s="10">
        <v>1206</v>
      </c>
      <c r="F28" s="10">
        <v>1064</v>
      </c>
      <c r="G28" s="10">
        <v>1864</v>
      </c>
      <c r="H28" s="10">
        <v>2699</v>
      </c>
      <c r="I28" s="10">
        <v>3204</v>
      </c>
      <c r="J28" s="8">
        <f>1752+1456</f>
        <v>3208</v>
      </c>
      <c r="K28" s="8">
        <f>1218+735+269</f>
        <v>2222</v>
      </c>
      <c r="M28">
        <v>98</v>
      </c>
      <c r="N28" s="10">
        <v>13405</v>
      </c>
      <c r="O28" s="10">
        <v>9</v>
      </c>
      <c r="P28" s="10">
        <v>121</v>
      </c>
      <c r="Q28" s="10">
        <v>1021</v>
      </c>
      <c r="R28" s="10">
        <v>897</v>
      </c>
      <c r="S28" s="10">
        <v>1562</v>
      </c>
      <c r="T28" s="10">
        <v>2253</v>
      </c>
      <c r="U28" s="10">
        <v>2611</v>
      </c>
      <c r="V28" s="8">
        <v>2891</v>
      </c>
      <c r="W28" s="8">
        <v>2040</v>
      </c>
      <c r="Y28" t="s">
        <v>21</v>
      </c>
    </row>
    <row r="29" spans="1:25" x14ac:dyDescent="0.15">
      <c r="A29">
        <v>99</v>
      </c>
      <c r="B29">
        <v>17242</v>
      </c>
      <c r="C29">
        <v>24</v>
      </c>
      <c r="D29">
        <v>116</v>
      </c>
      <c r="E29">
        <v>1133</v>
      </c>
      <c r="F29">
        <v>1122</v>
      </c>
      <c r="G29">
        <v>1668</v>
      </c>
      <c r="H29">
        <v>2723</v>
      </c>
      <c r="I29">
        <v>3237</v>
      </c>
      <c r="J29">
        <v>7219</v>
      </c>
      <c r="M29">
        <v>99</v>
      </c>
      <c r="N29">
        <v>14482</v>
      </c>
      <c r="O29">
        <v>13</v>
      </c>
      <c r="P29">
        <v>107</v>
      </c>
      <c r="Q29">
        <v>1027</v>
      </c>
      <c r="R29">
        <v>995</v>
      </c>
      <c r="S29">
        <v>1467</v>
      </c>
      <c r="T29">
        <v>2352</v>
      </c>
      <c r="U29">
        <v>2655</v>
      </c>
      <c r="V29" s="8">
        <v>3404</v>
      </c>
      <c r="W29" s="8">
        <v>2462</v>
      </c>
    </row>
    <row r="30" spans="1:25" x14ac:dyDescent="0.15">
      <c r="A30">
        <v>2000</v>
      </c>
      <c r="M30">
        <v>2000</v>
      </c>
      <c r="N30">
        <v>13219</v>
      </c>
      <c r="O30">
        <v>7</v>
      </c>
      <c r="P30">
        <v>96</v>
      </c>
      <c r="Q30">
        <v>941</v>
      </c>
      <c r="R30">
        <v>939</v>
      </c>
      <c r="S30">
        <v>1340</v>
      </c>
      <c r="T30">
        <v>2193</v>
      </c>
      <c r="U30">
        <v>2283</v>
      </c>
      <c r="V30" s="8">
        <v>3024</v>
      </c>
      <c r="W30" s="8">
        <v>2397</v>
      </c>
    </row>
    <row r="31" spans="1:25" x14ac:dyDescent="0.15">
      <c r="A31">
        <v>2001</v>
      </c>
      <c r="M31">
        <v>2001</v>
      </c>
      <c r="N31">
        <v>12656</v>
      </c>
      <c r="O31">
        <v>8</v>
      </c>
      <c r="P31">
        <v>96</v>
      </c>
      <c r="Q31">
        <v>852</v>
      </c>
      <c r="R31">
        <v>935</v>
      </c>
      <c r="S31">
        <v>1129</v>
      </c>
      <c r="T31">
        <v>2057</v>
      </c>
      <c r="U31">
        <v>2197</v>
      </c>
      <c r="V31" s="8">
        <v>2918</v>
      </c>
      <c r="W31" s="8">
        <v>2464</v>
      </c>
    </row>
    <row r="32" spans="1:25" x14ac:dyDescent="0.15">
      <c r="A32">
        <v>2002</v>
      </c>
      <c r="M32">
        <v>2002</v>
      </c>
      <c r="N32">
        <v>11933</v>
      </c>
      <c r="O32">
        <v>5</v>
      </c>
      <c r="P32">
        <v>83</v>
      </c>
      <c r="Q32">
        <v>805</v>
      </c>
      <c r="R32">
        <v>904</v>
      </c>
      <c r="S32">
        <v>1021</v>
      </c>
      <c r="T32">
        <v>1835</v>
      </c>
      <c r="U32">
        <v>2015</v>
      </c>
      <c r="V32" s="8">
        <v>2765</v>
      </c>
      <c r="W32" s="8">
        <v>2500</v>
      </c>
    </row>
    <row r="33" spans="1:24" x14ac:dyDescent="0.15">
      <c r="A33">
        <v>2003</v>
      </c>
      <c r="M33" s="27">
        <v>2003</v>
      </c>
      <c r="N33">
        <v>11857</v>
      </c>
      <c r="O33">
        <v>3</v>
      </c>
      <c r="P33">
        <v>66</v>
      </c>
      <c r="Q33">
        <v>826</v>
      </c>
      <c r="R33">
        <v>898</v>
      </c>
      <c r="S33">
        <v>929</v>
      </c>
      <c r="T33">
        <v>1838</v>
      </c>
      <c r="U33">
        <v>1936</v>
      </c>
      <c r="V33">
        <v>2718</v>
      </c>
      <c r="W33" s="27">
        <f>1319+886</f>
        <v>2205</v>
      </c>
      <c r="X33" s="27">
        <v>438</v>
      </c>
    </row>
    <row r="34" spans="1:24" x14ac:dyDescent="0.15">
      <c r="A34">
        <v>2004</v>
      </c>
      <c r="M34" s="27">
        <v>2004</v>
      </c>
      <c r="N34">
        <v>11445</v>
      </c>
      <c r="O34">
        <v>8</v>
      </c>
      <c r="P34">
        <v>78</v>
      </c>
      <c r="Q34">
        <v>720</v>
      </c>
      <c r="R34">
        <v>886</v>
      </c>
      <c r="S34">
        <v>886</v>
      </c>
      <c r="T34">
        <v>1707</v>
      </c>
      <c r="U34">
        <v>1841</v>
      </c>
      <c r="V34">
        <v>2686</v>
      </c>
      <c r="W34" s="27">
        <f>1296+852</f>
        <v>2148</v>
      </c>
      <c r="X34" s="27">
        <v>485</v>
      </c>
    </row>
    <row r="35" spans="1:24" x14ac:dyDescent="0.15">
      <c r="A35">
        <v>2005</v>
      </c>
      <c r="M35" s="27">
        <v>2005</v>
      </c>
      <c r="N35">
        <v>11318</v>
      </c>
      <c r="O35">
        <f>1+2+3</f>
        <v>6</v>
      </c>
      <c r="P35">
        <v>72</v>
      </c>
      <c r="Q35">
        <v>689</v>
      </c>
      <c r="R35">
        <v>875</v>
      </c>
      <c r="S35">
        <v>876</v>
      </c>
      <c r="T35">
        <v>1563</v>
      </c>
      <c r="U35">
        <v>1793</v>
      </c>
      <c r="V35">
        <v>2601</v>
      </c>
      <c r="W35" s="27">
        <f>1435+912</f>
        <v>2347</v>
      </c>
      <c r="X35" s="27">
        <v>496</v>
      </c>
    </row>
    <row r="36" spans="1:24" x14ac:dyDescent="0.15">
      <c r="A36">
        <v>2006</v>
      </c>
      <c r="M36" s="27">
        <v>2006</v>
      </c>
      <c r="N36">
        <v>10492</v>
      </c>
      <c r="O36">
        <v>6</v>
      </c>
      <c r="P36">
        <v>53</v>
      </c>
      <c r="Q36">
        <v>608</v>
      </c>
      <c r="R36">
        <v>781</v>
      </c>
      <c r="S36">
        <v>785</v>
      </c>
      <c r="T36">
        <v>1431</v>
      </c>
      <c r="U36">
        <v>1570</v>
      </c>
      <c r="V36">
        <v>2458</v>
      </c>
      <c r="W36" s="27">
        <f>1337+959</f>
        <v>2296</v>
      </c>
      <c r="X36" s="27">
        <v>504</v>
      </c>
    </row>
    <row r="37" spans="1:24" x14ac:dyDescent="0.15">
      <c r="A37">
        <v>2007</v>
      </c>
      <c r="M37" s="27">
        <v>2007</v>
      </c>
      <c r="N37">
        <v>10204</v>
      </c>
      <c r="O37">
        <v>4</v>
      </c>
      <c r="P37">
        <v>52</v>
      </c>
      <c r="Q37">
        <f>233+347</f>
        <v>580</v>
      </c>
      <c r="R37">
        <f>367+401</f>
        <v>768</v>
      </c>
      <c r="S37">
        <f>375+392</f>
        <v>767</v>
      </c>
      <c r="T37">
        <f>484+786</f>
        <v>1270</v>
      </c>
      <c r="U37">
        <f>728+776</f>
        <v>1504</v>
      </c>
      <c r="V37">
        <f>993+1306</f>
        <v>2299</v>
      </c>
      <c r="W37" s="27">
        <f>1521+944</f>
        <v>2465</v>
      </c>
      <c r="X37" s="27">
        <v>495</v>
      </c>
    </row>
    <row r="38" spans="1:24" x14ac:dyDescent="0.15">
      <c r="A38">
        <v>2008</v>
      </c>
      <c r="M38" s="27">
        <v>2008</v>
      </c>
      <c r="N38">
        <v>9809</v>
      </c>
      <c r="O38">
        <v>3</v>
      </c>
      <c r="P38">
        <v>55</v>
      </c>
      <c r="Q38">
        <v>485</v>
      </c>
      <c r="R38">
        <v>713</v>
      </c>
      <c r="S38">
        <v>722</v>
      </c>
      <c r="T38">
        <v>1216</v>
      </c>
      <c r="U38">
        <v>1430</v>
      </c>
      <c r="V38">
        <v>2231</v>
      </c>
      <c r="W38" s="27">
        <v>2420</v>
      </c>
      <c r="X38" s="27">
        <v>534</v>
      </c>
    </row>
    <row r="39" spans="1:24" x14ac:dyDescent="0.15">
      <c r="A39">
        <v>2009</v>
      </c>
      <c r="M39" s="27">
        <v>2009</v>
      </c>
      <c r="N39">
        <v>9675</v>
      </c>
      <c r="O39">
        <v>4</v>
      </c>
      <c r="P39">
        <v>48</v>
      </c>
      <c r="Q39">
        <v>526</v>
      </c>
      <c r="R39">
        <v>683</v>
      </c>
      <c r="S39">
        <v>720</v>
      </c>
      <c r="T39">
        <v>1023</v>
      </c>
      <c r="U39">
        <v>1460</v>
      </c>
      <c r="V39">
        <v>2013</v>
      </c>
      <c r="W39" s="27">
        <v>2570</v>
      </c>
      <c r="X39" s="27">
        <v>628</v>
      </c>
    </row>
    <row r="40" spans="1:24" x14ac:dyDescent="0.15">
      <c r="A40">
        <v>2010</v>
      </c>
      <c r="M40" s="51">
        <v>2010</v>
      </c>
      <c r="N40">
        <v>9019</v>
      </c>
      <c r="O40">
        <v>7</v>
      </c>
      <c r="P40">
        <v>60</v>
      </c>
      <c r="Q40">
        <f>166+223</f>
        <v>389</v>
      </c>
      <c r="R40">
        <f>282+314</f>
        <v>596</v>
      </c>
      <c r="S40">
        <f>303+313</f>
        <v>616</v>
      </c>
      <c r="T40">
        <f>365+494</f>
        <v>859</v>
      </c>
      <c r="U40">
        <f>709+680</f>
        <v>1389</v>
      </c>
      <c r="V40">
        <f>794+1200</f>
        <v>1994</v>
      </c>
      <c r="W40" s="51">
        <f>1397+1124</f>
        <v>2521</v>
      </c>
      <c r="X40" s="51">
        <v>588</v>
      </c>
    </row>
    <row r="41" spans="1:24" x14ac:dyDescent="0.15">
      <c r="M41" s="51">
        <v>2011</v>
      </c>
      <c r="N41">
        <v>8654</v>
      </c>
      <c r="O41">
        <v>5</v>
      </c>
      <c r="P41">
        <v>45</v>
      </c>
      <c r="Q41">
        <v>360</v>
      </c>
      <c r="R41">
        <v>520</v>
      </c>
      <c r="S41">
        <v>625</v>
      </c>
      <c r="T41">
        <v>819</v>
      </c>
      <c r="U41">
        <v>1241</v>
      </c>
      <c r="V41">
        <v>1817</v>
      </c>
      <c r="W41" s="51">
        <v>2564</v>
      </c>
      <c r="X41" s="51">
        <v>658</v>
      </c>
    </row>
    <row r="42" spans="1:24" x14ac:dyDescent="0.15">
      <c r="M42" s="51">
        <v>2012</v>
      </c>
      <c r="N42">
        <v>8237</v>
      </c>
      <c r="O42">
        <v>5</v>
      </c>
      <c r="P42">
        <v>40</v>
      </c>
      <c r="Q42">
        <v>337</v>
      </c>
      <c r="R42">
        <v>448</v>
      </c>
      <c r="S42">
        <v>555</v>
      </c>
      <c r="T42">
        <v>680</v>
      </c>
      <c r="U42">
        <v>1161</v>
      </c>
      <c r="V42">
        <v>1801</v>
      </c>
      <c r="W42" s="51">
        <v>2532</v>
      </c>
      <c r="X42" s="51">
        <v>678</v>
      </c>
    </row>
    <row r="43" spans="1:24" x14ac:dyDescent="0.15">
      <c r="M43" s="51">
        <v>2013</v>
      </c>
      <c r="N43">
        <v>8119</v>
      </c>
      <c r="O43">
        <v>0</v>
      </c>
      <c r="P43">
        <v>49</v>
      </c>
      <c r="Q43">
        <v>357</v>
      </c>
      <c r="R43">
        <v>412</v>
      </c>
      <c r="S43">
        <v>523</v>
      </c>
      <c r="T43">
        <v>663</v>
      </c>
      <c r="U43">
        <v>1119</v>
      </c>
      <c r="V43">
        <v>1682</v>
      </c>
      <c r="W43" s="51">
        <v>2610</v>
      </c>
      <c r="X43" s="51">
        <v>704</v>
      </c>
    </row>
    <row r="44" spans="1:24" x14ac:dyDescent="0.15">
      <c r="M44" s="51">
        <v>2014</v>
      </c>
      <c r="N44">
        <v>7651</v>
      </c>
      <c r="O44">
        <v>1</v>
      </c>
      <c r="P44">
        <v>36</v>
      </c>
      <c r="Q44">
        <v>329</v>
      </c>
      <c r="R44">
        <v>341</v>
      </c>
      <c r="S44">
        <v>480</v>
      </c>
      <c r="T44">
        <v>597</v>
      </c>
      <c r="U44">
        <v>1010</v>
      </c>
      <c r="V44">
        <v>1578</v>
      </c>
      <c r="W44" s="51">
        <v>2557</v>
      </c>
      <c r="X44" s="51">
        <v>722</v>
      </c>
    </row>
    <row r="45" spans="1:24" x14ac:dyDescent="0.15">
      <c r="M45" s="51">
        <v>2015</v>
      </c>
      <c r="N45">
        <v>7131</v>
      </c>
      <c r="O45">
        <v>2</v>
      </c>
      <c r="P45">
        <v>41</v>
      </c>
      <c r="Q45">
        <v>292</v>
      </c>
      <c r="R45">
        <v>348</v>
      </c>
      <c r="S45">
        <v>454</v>
      </c>
      <c r="T45">
        <v>535</v>
      </c>
      <c r="U45">
        <v>935</v>
      </c>
      <c r="V45">
        <v>1408</v>
      </c>
      <c r="W45" s="51">
        <v>2347</v>
      </c>
      <c r="X45" s="51">
        <v>769</v>
      </c>
    </row>
    <row r="46" spans="1:24" x14ac:dyDescent="0.15">
      <c r="M46" s="51">
        <v>2016</v>
      </c>
      <c r="N46">
        <v>6642</v>
      </c>
      <c r="O46">
        <v>3</v>
      </c>
      <c r="P46">
        <v>47</v>
      </c>
      <c r="Q46">
        <v>282</v>
      </c>
      <c r="R46">
        <v>282</v>
      </c>
      <c r="S46">
        <v>386</v>
      </c>
      <c r="T46">
        <v>453</v>
      </c>
      <c r="U46">
        <v>852</v>
      </c>
      <c r="V46">
        <v>1252</v>
      </c>
      <c r="W46" s="51">
        <v>2215</v>
      </c>
      <c r="X46" s="51">
        <v>870</v>
      </c>
    </row>
    <row r="47" spans="1:24" x14ac:dyDescent="0.15">
      <c r="M47" s="51">
        <v>2017</v>
      </c>
      <c r="N47" s="59">
        <v>6359</v>
      </c>
      <c r="O47" s="59">
        <v>4</v>
      </c>
      <c r="P47" s="59">
        <v>40</v>
      </c>
      <c r="Q47" s="59">
        <v>289</v>
      </c>
      <c r="R47" s="59">
        <v>305</v>
      </c>
      <c r="S47" s="59">
        <v>371</v>
      </c>
      <c r="T47" s="59">
        <v>449</v>
      </c>
      <c r="U47" s="59">
        <v>804</v>
      </c>
      <c r="V47" s="59">
        <v>1238</v>
      </c>
      <c r="W47" s="60">
        <v>1995</v>
      </c>
      <c r="X47" s="60">
        <v>864</v>
      </c>
    </row>
    <row r="48" spans="1:24" x14ac:dyDescent="0.15">
      <c r="M48" s="51">
        <v>2018</v>
      </c>
      <c r="N48" s="74">
        <v>5781</v>
      </c>
      <c r="O48" s="73">
        <v>4</v>
      </c>
      <c r="P48" s="73">
        <v>40</v>
      </c>
      <c r="Q48" s="73">
        <v>296</v>
      </c>
      <c r="R48" s="73">
        <v>259</v>
      </c>
      <c r="S48" s="73">
        <v>321</v>
      </c>
      <c r="T48" s="73">
        <v>417</v>
      </c>
      <c r="U48" s="73">
        <v>693</v>
      </c>
      <c r="V48" s="74">
        <v>1101</v>
      </c>
      <c r="W48" s="81">
        <v>1857</v>
      </c>
      <c r="X48" s="82">
        <v>793</v>
      </c>
    </row>
    <row r="49" spans="1:24" ht="15.75" x14ac:dyDescent="0.15">
      <c r="M49" s="51">
        <v>2019</v>
      </c>
      <c r="N49" s="74">
        <v>5231</v>
      </c>
      <c r="O49" s="83">
        <v>0</v>
      </c>
      <c r="P49" s="83">
        <v>38</v>
      </c>
      <c r="Q49" s="83">
        <v>296</v>
      </c>
      <c r="R49" s="83">
        <v>199</v>
      </c>
      <c r="S49" s="83">
        <v>308</v>
      </c>
      <c r="T49" s="83">
        <v>364</v>
      </c>
      <c r="U49" s="83">
        <v>525</v>
      </c>
      <c r="V49" s="83">
        <v>1035</v>
      </c>
      <c r="W49" s="85">
        <v>1595</v>
      </c>
      <c r="X49" s="85">
        <v>871</v>
      </c>
    </row>
    <row r="50" spans="1:24" ht="15.75" x14ac:dyDescent="0.15">
      <c r="M50" s="51">
        <v>2020</v>
      </c>
      <c r="N50" s="79">
        <v>4615</v>
      </c>
      <c r="O50" s="93">
        <v>3</v>
      </c>
      <c r="P50" s="93">
        <v>20</v>
      </c>
      <c r="Q50" s="93">
        <v>255</v>
      </c>
      <c r="R50" s="93">
        <v>194</v>
      </c>
      <c r="S50" s="93">
        <v>226</v>
      </c>
      <c r="T50" s="93">
        <v>307</v>
      </c>
      <c r="U50" s="93">
        <v>489</v>
      </c>
      <c r="V50" s="93">
        <v>925</v>
      </c>
      <c r="W50" s="85">
        <v>1454</v>
      </c>
      <c r="X50" s="85">
        <v>742</v>
      </c>
    </row>
    <row r="51" spans="1:24" ht="15.75" x14ac:dyDescent="0.15">
      <c r="M51" s="51">
        <v>2021</v>
      </c>
      <c r="N51" s="79">
        <v>4127</v>
      </c>
      <c r="O51" s="93">
        <v>2</v>
      </c>
      <c r="P51" s="93">
        <v>35</v>
      </c>
      <c r="Q51" s="93">
        <v>202</v>
      </c>
      <c r="R51" s="93">
        <v>169</v>
      </c>
      <c r="S51" s="93">
        <v>182</v>
      </c>
      <c r="T51" s="93">
        <v>291</v>
      </c>
      <c r="U51" s="93">
        <v>379</v>
      </c>
      <c r="V51" s="93">
        <v>794</v>
      </c>
      <c r="W51" s="85">
        <v>1374</v>
      </c>
      <c r="X51" s="85">
        <v>699</v>
      </c>
    </row>
    <row r="52" spans="1:24" ht="15.75" x14ac:dyDescent="0.15">
      <c r="M52" s="52">
        <v>2022</v>
      </c>
      <c r="N52" s="68">
        <v>3703</v>
      </c>
      <c r="O52" s="94">
        <v>2</v>
      </c>
      <c r="P52" s="94">
        <v>17</v>
      </c>
      <c r="Q52" s="94">
        <v>198</v>
      </c>
      <c r="R52" s="94">
        <v>136</v>
      </c>
      <c r="S52" s="94">
        <v>169</v>
      </c>
      <c r="T52" s="94">
        <v>264</v>
      </c>
      <c r="U52" s="94">
        <v>317</v>
      </c>
      <c r="V52" s="94">
        <v>756</v>
      </c>
      <c r="W52" s="85">
        <v>1241</v>
      </c>
      <c r="X52" s="85">
        <v>603</v>
      </c>
    </row>
    <row r="53" spans="1:24" x14ac:dyDescent="0.15">
      <c r="A53" t="s">
        <v>10</v>
      </c>
      <c r="M53" t="s">
        <v>10</v>
      </c>
    </row>
    <row r="54" spans="1:24" x14ac:dyDescent="0.15"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  <c r="J54" t="s">
        <v>9</v>
      </c>
      <c r="K54" t="s">
        <v>23</v>
      </c>
      <c r="N54" t="s">
        <v>1</v>
      </c>
      <c r="O54" t="s">
        <v>2</v>
      </c>
      <c r="P54" t="s">
        <v>3</v>
      </c>
      <c r="Q54" t="s">
        <v>4</v>
      </c>
      <c r="R54" t="s">
        <v>5</v>
      </c>
      <c r="S54" t="s">
        <v>6</v>
      </c>
      <c r="T54" t="s">
        <v>7</v>
      </c>
      <c r="U54" t="s">
        <v>8</v>
      </c>
      <c r="V54" t="s">
        <v>9</v>
      </c>
      <c r="W54" t="s">
        <v>23</v>
      </c>
      <c r="X54" t="s">
        <v>37</v>
      </c>
    </row>
    <row r="55" spans="1:24" ht="13.5" customHeight="1" x14ac:dyDescent="0.15">
      <c r="A55">
        <v>75</v>
      </c>
      <c r="B55">
        <v>111934</v>
      </c>
      <c r="C55">
        <v>27191</v>
      </c>
      <c r="D55">
        <v>7901</v>
      </c>
      <c r="E55">
        <v>19958</v>
      </c>
      <c r="F55">
        <v>17685</v>
      </c>
      <c r="G55">
        <v>15564</v>
      </c>
      <c r="H55">
        <v>10455</v>
      </c>
      <c r="I55">
        <v>7748</v>
      </c>
      <c r="J55">
        <v>5387</v>
      </c>
      <c r="M55">
        <v>75</v>
      </c>
    </row>
    <row r="56" spans="1:24" ht="13.5" customHeight="1" x14ac:dyDescent="0.15">
      <c r="A56">
        <v>76</v>
      </c>
      <c r="B56">
        <v>113086</v>
      </c>
      <c r="C56">
        <v>27455</v>
      </c>
      <c r="D56">
        <v>7884</v>
      </c>
      <c r="E56">
        <v>20066</v>
      </c>
      <c r="F56">
        <v>17386</v>
      </c>
      <c r="G56">
        <v>15868</v>
      </c>
      <c r="H56">
        <v>10895</v>
      </c>
      <c r="I56">
        <v>7980</v>
      </c>
      <c r="J56">
        <v>5553</v>
      </c>
      <c r="M56">
        <v>76</v>
      </c>
    </row>
    <row r="57" spans="1:24" ht="13.5" customHeight="1" x14ac:dyDescent="0.15">
      <c r="A57">
        <v>77</v>
      </c>
      <c r="B57">
        <v>114154</v>
      </c>
      <c r="C57">
        <v>27650</v>
      </c>
      <c r="D57">
        <v>7961</v>
      </c>
      <c r="E57">
        <v>19197</v>
      </c>
      <c r="F57">
        <v>17930</v>
      </c>
      <c r="G57">
        <v>16140</v>
      </c>
      <c r="H57">
        <v>11353</v>
      </c>
      <c r="I57">
        <v>8083</v>
      </c>
      <c r="J57">
        <v>5840</v>
      </c>
      <c r="M57">
        <v>77</v>
      </c>
    </row>
    <row r="58" spans="1:24" ht="13.5" customHeight="1" x14ac:dyDescent="0.15">
      <c r="A58">
        <v>78</v>
      </c>
      <c r="B58">
        <v>115174</v>
      </c>
      <c r="C58">
        <v>27708</v>
      </c>
      <c r="D58">
        <v>8017</v>
      </c>
      <c r="E58">
        <v>18340</v>
      </c>
      <c r="F58">
        <v>18658</v>
      </c>
      <c r="G58">
        <v>16294</v>
      </c>
      <c r="H58">
        <v>11866</v>
      </c>
      <c r="I58">
        <v>8191</v>
      </c>
      <c r="J58">
        <v>6098</v>
      </c>
      <c r="M58">
        <v>78</v>
      </c>
    </row>
    <row r="59" spans="1:24" ht="13.5" customHeight="1" x14ac:dyDescent="0.15">
      <c r="A59">
        <v>79</v>
      </c>
      <c r="B59">
        <v>116133</v>
      </c>
      <c r="C59">
        <v>27664</v>
      </c>
      <c r="D59">
        <v>8068</v>
      </c>
      <c r="E59">
        <v>17530</v>
      </c>
      <c r="F59">
        <v>19512</v>
      </c>
      <c r="G59">
        <v>16292</v>
      </c>
      <c r="H59">
        <v>12439</v>
      </c>
      <c r="I59">
        <v>8236</v>
      </c>
      <c r="J59">
        <v>6392</v>
      </c>
      <c r="M59">
        <v>79</v>
      </c>
    </row>
    <row r="60" spans="1:24" ht="13.5" customHeight="1" x14ac:dyDescent="0.15">
      <c r="A60">
        <v>80</v>
      </c>
      <c r="B60">
        <v>116916</v>
      </c>
      <c r="C60">
        <v>27533</v>
      </c>
      <c r="D60">
        <v>8228</v>
      </c>
      <c r="E60">
        <v>16877</v>
      </c>
      <c r="F60">
        <v>19992</v>
      </c>
      <c r="G60">
        <v>16407</v>
      </c>
      <c r="H60">
        <v>12785</v>
      </c>
      <c r="I60">
        <v>8404</v>
      </c>
      <c r="J60">
        <v>6638</v>
      </c>
      <c r="M60">
        <v>80</v>
      </c>
    </row>
    <row r="61" spans="1:24" ht="13.5" customHeight="1" x14ac:dyDescent="0.15">
      <c r="A61">
        <v>81</v>
      </c>
      <c r="B61">
        <v>117884</v>
      </c>
      <c r="C61">
        <v>27603</v>
      </c>
      <c r="D61">
        <v>8152</v>
      </c>
      <c r="E61">
        <v>16414</v>
      </c>
      <c r="F61">
        <v>20098</v>
      </c>
      <c r="G61">
        <v>16729</v>
      </c>
      <c r="H61">
        <v>13333</v>
      </c>
      <c r="I61">
        <v>8580</v>
      </c>
      <c r="J61">
        <v>6975</v>
      </c>
      <c r="M61">
        <v>81</v>
      </c>
    </row>
    <row r="62" spans="1:24" ht="13.5" customHeight="1" x14ac:dyDescent="0.15">
      <c r="A62">
        <v>82</v>
      </c>
      <c r="B62">
        <v>118693</v>
      </c>
      <c r="C62">
        <v>27254</v>
      </c>
      <c r="D62">
        <v>8414</v>
      </c>
      <c r="E62">
        <v>16096</v>
      </c>
      <c r="F62">
        <v>20044</v>
      </c>
      <c r="G62">
        <v>17027</v>
      </c>
      <c r="H62">
        <v>13820</v>
      </c>
      <c r="I62">
        <v>8748</v>
      </c>
      <c r="J62">
        <v>7291</v>
      </c>
      <c r="M62">
        <v>82</v>
      </c>
    </row>
    <row r="63" spans="1:24" ht="13.5" customHeight="1" x14ac:dyDescent="0.15">
      <c r="A63">
        <v>83</v>
      </c>
      <c r="B63">
        <v>119483</v>
      </c>
      <c r="C63">
        <v>26908</v>
      </c>
      <c r="D63">
        <v>8622</v>
      </c>
      <c r="E63">
        <v>15938</v>
      </c>
      <c r="F63">
        <v>19939</v>
      </c>
      <c r="G63">
        <v>17238</v>
      </c>
      <c r="H63">
        <v>14280</v>
      </c>
      <c r="I63">
        <v>8957</v>
      </c>
      <c r="J63">
        <v>7601</v>
      </c>
      <c r="M63">
        <v>83</v>
      </c>
    </row>
    <row r="64" spans="1:24" ht="13.5" customHeight="1" x14ac:dyDescent="0.15">
      <c r="A64">
        <v>84</v>
      </c>
      <c r="B64">
        <v>120235</v>
      </c>
      <c r="C64">
        <v>26504</v>
      </c>
      <c r="D64">
        <v>8830</v>
      </c>
      <c r="E64">
        <v>15939</v>
      </c>
      <c r="F64">
        <v>19665</v>
      </c>
      <c r="G64">
        <v>17526</v>
      </c>
      <c r="H64">
        <v>14636</v>
      </c>
      <c r="I64">
        <v>9213</v>
      </c>
      <c r="J64">
        <v>7923</v>
      </c>
      <c r="M64">
        <v>84</v>
      </c>
    </row>
    <row r="65" spans="1:23" ht="13.5" customHeight="1" x14ac:dyDescent="0.15">
      <c r="A65">
        <v>85</v>
      </c>
      <c r="B65">
        <v>121026</v>
      </c>
      <c r="C65">
        <v>26094</v>
      </c>
      <c r="D65">
        <v>8974</v>
      </c>
      <c r="E65">
        <v>16067</v>
      </c>
      <c r="F65">
        <v>19850</v>
      </c>
      <c r="G65">
        <v>17326</v>
      </c>
      <c r="H65">
        <v>14894</v>
      </c>
      <c r="I65">
        <v>9574</v>
      </c>
      <c r="J65">
        <v>8208</v>
      </c>
      <c r="M65">
        <v>85</v>
      </c>
    </row>
    <row r="66" spans="1:23" ht="13.5" customHeight="1" x14ac:dyDescent="0.15">
      <c r="A66">
        <v>86</v>
      </c>
      <c r="B66">
        <v>121672</v>
      </c>
      <c r="C66">
        <v>25434</v>
      </c>
      <c r="D66">
        <v>9511</v>
      </c>
      <c r="E66">
        <v>15862</v>
      </c>
      <c r="F66">
        <v>19940</v>
      </c>
      <c r="G66">
        <v>17085</v>
      </c>
      <c r="H66">
        <v>15237</v>
      </c>
      <c r="I66">
        <v>10013</v>
      </c>
      <c r="J66">
        <v>8588</v>
      </c>
      <c r="M66">
        <v>86</v>
      </c>
    </row>
    <row r="67" spans="1:23" ht="13.5" customHeight="1" x14ac:dyDescent="0.15">
      <c r="A67">
        <v>87</v>
      </c>
      <c r="B67">
        <v>122264</v>
      </c>
      <c r="C67">
        <v>24852</v>
      </c>
      <c r="D67">
        <v>9576</v>
      </c>
      <c r="E67">
        <v>16192</v>
      </c>
      <c r="F67">
        <v>19140</v>
      </c>
      <c r="G67">
        <v>17669</v>
      </c>
      <c r="H67">
        <v>15477</v>
      </c>
      <c r="I67">
        <v>10463</v>
      </c>
      <c r="J67" s="8">
        <v>6418</v>
      </c>
      <c r="K67" s="8">
        <v>2478</v>
      </c>
      <c r="M67">
        <v>87</v>
      </c>
    </row>
    <row r="68" spans="1:23" ht="13.5" customHeight="1" x14ac:dyDescent="0.15">
      <c r="A68">
        <v>88</v>
      </c>
      <c r="B68">
        <v>122783</v>
      </c>
      <c r="C68">
        <v>23985</v>
      </c>
      <c r="D68">
        <v>9890</v>
      </c>
      <c r="E68">
        <v>16466</v>
      </c>
      <c r="F68">
        <v>18283</v>
      </c>
      <c r="G68">
        <v>18419</v>
      </c>
      <c r="H68">
        <v>15631</v>
      </c>
      <c r="I68">
        <v>10940</v>
      </c>
      <c r="J68" s="8">
        <v>6541</v>
      </c>
      <c r="K68" s="8">
        <v>2628</v>
      </c>
      <c r="M68">
        <v>88</v>
      </c>
    </row>
    <row r="69" spans="1:23" ht="13.5" customHeight="1" x14ac:dyDescent="0.15">
      <c r="A69">
        <v>89</v>
      </c>
      <c r="B69">
        <v>123255</v>
      </c>
      <c r="C69">
        <v>23200</v>
      </c>
      <c r="D69">
        <v>10026</v>
      </c>
      <c r="E69">
        <v>16752</v>
      </c>
      <c r="F69">
        <v>17457</v>
      </c>
      <c r="G69">
        <v>19292</v>
      </c>
      <c r="H69">
        <v>15640</v>
      </c>
      <c r="I69">
        <v>11473</v>
      </c>
      <c r="J69" s="8">
        <v>6613</v>
      </c>
      <c r="K69" s="8">
        <v>2798</v>
      </c>
      <c r="M69">
        <v>89</v>
      </c>
    </row>
    <row r="70" spans="1:23" ht="13.5" customHeight="1" x14ac:dyDescent="0.15">
      <c r="A70">
        <v>90</v>
      </c>
      <c r="B70">
        <v>123610</v>
      </c>
      <c r="C70">
        <v>22490</v>
      </c>
      <c r="D70">
        <v>10020</v>
      </c>
      <c r="E70">
        <v>17110</v>
      </c>
      <c r="F70">
        <v>16820</v>
      </c>
      <c r="G70">
        <v>19720</v>
      </c>
      <c r="H70">
        <v>15830</v>
      </c>
      <c r="I70">
        <v>11840</v>
      </c>
      <c r="J70" s="8">
        <v>6836</v>
      </c>
      <c r="K70" s="8">
        <v>2955</v>
      </c>
      <c r="M70">
        <v>90</v>
      </c>
    </row>
    <row r="71" spans="1:23" ht="13.5" customHeight="1" x14ac:dyDescent="0.15">
      <c r="A71">
        <v>91</v>
      </c>
      <c r="B71">
        <v>124043</v>
      </c>
      <c r="C71">
        <v>21904</v>
      </c>
      <c r="D71">
        <v>9898</v>
      </c>
      <c r="E71">
        <v>17375</v>
      </c>
      <c r="F71">
        <v>16358</v>
      </c>
      <c r="G71">
        <v>19859</v>
      </c>
      <c r="H71">
        <v>16144</v>
      </c>
      <c r="I71">
        <v>12352</v>
      </c>
      <c r="J71" s="8">
        <v>7013</v>
      </c>
      <c r="K71" s="8">
        <v>3140</v>
      </c>
      <c r="M71">
        <v>91</v>
      </c>
    </row>
    <row r="72" spans="1:23" ht="13.5" customHeight="1" x14ac:dyDescent="0.15">
      <c r="A72">
        <v>92</v>
      </c>
      <c r="B72">
        <v>124452</v>
      </c>
      <c r="C72">
        <v>21364</v>
      </c>
      <c r="D72">
        <v>9624</v>
      </c>
      <c r="E72">
        <v>17849</v>
      </c>
      <c r="F72">
        <v>16030</v>
      </c>
      <c r="G72">
        <v>19822</v>
      </c>
      <c r="H72">
        <v>16439</v>
      </c>
      <c r="I72">
        <v>12803</v>
      </c>
      <c r="J72" s="8">
        <v>7189</v>
      </c>
      <c r="K72" s="8">
        <v>3332</v>
      </c>
      <c r="M72">
        <v>92</v>
      </c>
    </row>
    <row r="73" spans="1:23" ht="13.5" customHeight="1" x14ac:dyDescent="0.15">
      <c r="A73">
        <v>93</v>
      </c>
      <c r="B73">
        <v>124764</v>
      </c>
      <c r="C73">
        <v>20841</v>
      </c>
      <c r="D73">
        <v>9265</v>
      </c>
      <c r="E73">
        <v>18301</v>
      </c>
      <c r="F73">
        <v>15847</v>
      </c>
      <c r="G73">
        <v>19735</v>
      </c>
      <c r="H73">
        <v>16647</v>
      </c>
      <c r="I73">
        <v>13220</v>
      </c>
      <c r="J73" s="8">
        <v>7391</v>
      </c>
      <c r="K73" s="8">
        <v>3517</v>
      </c>
      <c r="M73">
        <v>93</v>
      </c>
    </row>
    <row r="74" spans="1:23" ht="13.5" customHeight="1" x14ac:dyDescent="0.15">
      <c r="A74">
        <v>94</v>
      </c>
      <c r="B74">
        <v>125034</v>
      </c>
      <c r="C74">
        <v>20414</v>
      </c>
      <c r="D74">
        <v>8867</v>
      </c>
      <c r="E74">
        <v>18658</v>
      </c>
      <c r="F74">
        <v>15803</v>
      </c>
      <c r="G74">
        <v>19470</v>
      </c>
      <c r="H74">
        <v>16916</v>
      </c>
      <c r="I74">
        <v>13547</v>
      </c>
      <c r="J74" s="8">
        <v>7638</v>
      </c>
      <c r="K74" s="8">
        <v>3719</v>
      </c>
      <c r="M74">
        <v>94</v>
      </c>
    </row>
    <row r="75" spans="1:23" ht="13.5" customHeight="1" x14ac:dyDescent="0.15">
      <c r="A75">
        <v>95</v>
      </c>
      <c r="B75">
        <v>125569</v>
      </c>
      <c r="C75">
        <v>19958</v>
      </c>
      <c r="D75">
        <v>8585</v>
      </c>
      <c r="E75">
        <v>18415</v>
      </c>
      <c r="F75">
        <v>15770</v>
      </c>
      <c r="G75">
        <v>19560</v>
      </c>
      <c r="H75">
        <v>17029</v>
      </c>
      <c r="I75">
        <v>13982</v>
      </c>
      <c r="J75" s="8">
        <v>8180</v>
      </c>
      <c r="K75" s="8">
        <v>4002</v>
      </c>
      <c r="M75">
        <v>95</v>
      </c>
    </row>
    <row r="76" spans="1:23" ht="13.5" customHeight="1" x14ac:dyDescent="0.15">
      <c r="A76">
        <v>96</v>
      </c>
      <c r="B76">
        <v>125864</v>
      </c>
      <c r="C76">
        <v>19686</v>
      </c>
      <c r="D76">
        <v>8243</v>
      </c>
      <c r="E76">
        <v>19130</v>
      </c>
      <c r="F76">
        <v>15777</v>
      </c>
      <c r="G76">
        <v>19789</v>
      </c>
      <c r="H76">
        <v>16606</v>
      </c>
      <c r="I76">
        <v>14172</v>
      </c>
      <c r="J76" s="8">
        <v>8376</v>
      </c>
      <c r="K76" s="8">
        <v>4085</v>
      </c>
      <c r="M76">
        <v>96</v>
      </c>
    </row>
    <row r="77" spans="1:23" ht="13.5" customHeight="1" x14ac:dyDescent="0.15">
      <c r="A77">
        <v>97</v>
      </c>
      <c r="B77">
        <v>126166</v>
      </c>
      <c r="C77">
        <v>19366</v>
      </c>
      <c r="D77">
        <v>8005</v>
      </c>
      <c r="E77">
        <v>19082</v>
      </c>
      <c r="F77">
        <v>16076</v>
      </c>
      <c r="G77">
        <v>19007</v>
      </c>
      <c r="H77">
        <v>17173</v>
      </c>
      <c r="I77">
        <v>14411</v>
      </c>
      <c r="J77" s="8">
        <v>8782</v>
      </c>
      <c r="K77" s="8">
        <v>4264</v>
      </c>
      <c r="M77">
        <v>97</v>
      </c>
    </row>
    <row r="78" spans="1:23" ht="13.5" customHeight="1" x14ac:dyDescent="0.15">
      <c r="A78">
        <v>98</v>
      </c>
      <c r="B78">
        <v>126486</v>
      </c>
      <c r="C78">
        <v>19059</v>
      </c>
      <c r="D78">
        <v>7807</v>
      </c>
      <c r="E78">
        <v>18993</v>
      </c>
      <c r="F78">
        <v>16343</v>
      </c>
      <c r="G78">
        <v>18167</v>
      </c>
      <c r="H78">
        <v>17900</v>
      </c>
      <c r="I78">
        <v>14568</v>
      </c>
      <c r="J78" s="8">
        <v>9207</v>
      </c>
      <c r="K78" s="8">
        <v>4444</v>
      </c>
      <c r="M78">
        <v>98</v>
      </c>
      <c r="N78">
        <v>126486</v>
      </c>
      <c r="O78">
        <v>19059</v>
      </c>
      <c r="P78">
        <v>7807</v>
      </c>
      <c r="Q78">
        <v>18993</v>
      </c>
      <c r="R78">
        <v>16343</v>
      </c>
      <c r="S78">
        <v>18167</v>
      </c>
      <c r="T78">
        <v>17900</v>
      </c>
      <c r="U78">
        <v>14568</v>
      </c>
      <c r="V78" s="8">
        <v>9207</v>
      </c>
      <c r="W78" s="8">
        <v>4444</v>
      </c>
    </row>
    <row r="79" spans="1:23" ht="13.5" customHeight="1" x14ac:dyDescent="0.15">
      <c r="A79">
        <v>99</v>
      </c>
      <c r="B79">
        <v>126686</v>
      </c>
      <c r="C79">
        <v>18742</v>
      </c>
      <c r="D79">
        <v>7655</v>
      </c>
      <c r="E79">
        <v>18785</v>
      </c>
      <c r="F79">
        <v>16594</v>
      </c>
      <c r="G79">
        <v>17341</v>
      </c>
      <c r="H79">
        <v>18753</v>
      </c>
      <c r="I79">
        <v>14581</v>
      </c>
      <c r="J79">
        <v>14235</v>
      </c>
      <c r="M79">
        <v>99</v>
      </c>
      <c r="N79">
        <v>126686</v>
      </c>
      <c r="O79">
        <v>18742</v>
      </c>
      <c r="P79">
        <v>7655</v>
      </c>
      <c r="Q79">
        <v>18785</v>
      </c>
      <c r="R79">
        <v>16594</v>
      </c>
      <c r="S79">
        <v>17341</v>
      </c>
      <c r="T79">
        <v>18753</v>
      </c>
      <c r="U79">
        <v>14581</v>
      </c>
      <c r="V79" s="8">
        <v>9663</v>
      </c>
      <c r="W79" s="8">
        <v>4572</v>
      </c>
    </row>
    <row r="80" spans="1:23" ht="13.5" customHeight="1" x14ac:dyDescent="0.15">
      <c r="A80">
        <v>2000</v>
      </c>
      <c r="M80">
        <v>2000</v>
      </c>
      <c r="N80">
        <v>126919</v>
      </c>
      <c r="O80">
        <v>18448</v>
      </c>
      <c r="P80">
        <v>7523</v>
      </c>
      <c r="Q80">
        <v>17791</v>
      </c>
      <c r="R80">
        <v>16696</v>
      </c>
      <c r="S80">
        <v>16763</v>
      </c>
      <c r="T80">
        <v>19357</v>
      </c>
      <c r="U80">
        <v>15074</v>
      </c>
      <c r="V80" s="8">
        <v>10138</v>
      </c>
      <c r="W80" s="8">
        <v>4926</v>
      </c>
    </row>
    <row r="81" spans="1:27" ht="13.5" customHeight="1" x14ac:dyDescent="0.15">
      <c r="A81">
        <v>2001</v>
      </c>
      <c r="M81">
        <v>2001</v>
      </c>
      <c r="N81">
        <v>127291</v>
      </c>
      <c r="O81">
        <v>18283</v>
      </c>
      <c r="P81">
        <v>7350</v>
      </c>
      <c r="Q81">
        <v>17904</v>
      </c>
      <c r="R81">
        <v>17339</v>
      </c>
      <c r="S81">
        <v>16283</v>
      </c>
      <c r="T81">
        <v>19345</v>
      </c>
      <c r="U81">
        <v>15195</v>
      </c>
      <c r="V81" s="8">
        <v>10490</v>
      </c>
      <c r="W81" s="8">
        <v>5101</v>
      </c>
    </row>
    <row r="82" spans="1:27" ht="13.5" customHeight="1" x14ac:dyDescent="0.15">
      <c r="A82">
        <v>2002</v>
      </c>
      <c r="M82">
        <v>2002</v>
      </c>
      <c r="N82">
        <v>127435</v>
      </c>
      <c r="O82">
        <f>5875+5983+6244</f>
        <v>18102</v>
      </c>
      <c r="P82">
        <v>7194</v>
      </c>
      <c r="Q82">
        <v>17443</v>
      </c>
      <c r="R82">
        <v>17754</v>
      </c>
      <c r="S82">
        <v>15948</v>
      </c>
      <c r="T82">
        <v>19265</v>
      </c>
      <c r="U82">
        <v>15476</v>
      </c>
      <c r="V82" s="8">
        <v>10884</v>
      </c>
      <c r="W82" s="8">
        <v>5370</v>
      </c>
    </row>
    <row r="83" spans="1:27" ht="13.5" customHeight="1" x14ac:dyDescent="0.15">
      <c r="A83">
        <v>2003</v>
      </c>
      <c r="M83" s="27">
        <v>2003</v>
      </c>
      <c r="N83">
        <v>127619</v>
      </c>
      <c r="O83">
        <f>5801+5985+6119</f>
        <v>17905</v>
      </c>
      <c r="P83">
        <v>6997</v>
      </c>
      <c r="Q83">
        <v>16965</v>
      </c>
      <c r="R83">
        <v>18169</v>
      </c>
      <c r="S83">
        <v>15788</v>
      </c>
      <c r="T83">
        <v>19183</v>
      </c>
      <c r="U83">
        <v>15709</v>
      </c>
      <c r="V83">
        <v>11256</v>
      </c>
      <c r="W83" s="27">
        <f>3021+1699</f>
        <v>4720</v>
      </c>
      <c r="X83" s="27">
        <v>931</v>
      </c>
    </row>
    <row r="84" spans="1:27" ht="13.5" customHeight="1" x14ac:dyDescent="0.15">
      <c r="A84">
        <v>2004</v>
      </c>
      <c r="M84" s="27">
        <v>2004</v>
      </c>
      <c r="N84" s="21">
        <v>127686608</v>
      </c>
      <c r="O84" s="21">
        <f>5735568+5938155+6059880</f>
        <v>17733603</v>
      </c>
      <c r="P84" s="21">
        <v>6761236</v>
      </c>
      <c r="Q84" s="21">
        <v>16480230</v>
      </c>
      <c r="R84" s="21">
        <v>18480348</v>
      </c>
      <c r="S84" s="21">
        <v>15762742</v>
      </c>
      <c r="T84" s="21">
        <v>18940021</v>
      </c>
      <c r="U84" s="21">
        <v>15995663</v>
      </c>
      <c r="V84" s="21">
        <v>11563766</v>
      </c>
      <c r="W84" s="29">
        <v>4952998</v>
      </c>
      <c r="X84" s="29">
        <v>1016001</v>
      </c>
    </row>
    <row r="85" spans="1:27" ht="13.5" customHeight="1" x14ac:dyDescent="0.15">
      <c r="A85">
        <v>2005</v>
      </c>
      <c r="M85" s="27">
        <v>2005</v>
      </c>
      <c r="N85" s="21">
        <v>127592300</v>
      </c>
      <c r="O85" s="21">
        <f>5409300+5899000+6091400</f>
        <v>17399700</v>
      </c>
      <c r="P85" s="21">
        <v>6526500</v>
      </c>
      <c r="Q85" s="21">
        <v>14908800</v>
      </c>
      <c r="R85" s="21">
        <v>17928200</v>
      </c>
      <c r="S85" s="21">
        <v>15809800</v>
      </c>
      <c r="T85" s="21">
        <v>19423600</v>
      </c>
      <c r="U85" s="21">
        <v>16507900</v>
      </c>
      <c r="V85" s="21">
        <v>12440100</v>
      </c>
      <c r="W85" s="29">
        <f>3590400+1935200</f>
        <v>5525600</v>
      </c>
      <c r="X85" s="29">
        <v>1122100</v>
      </c>
    </row>
    <row r="86" spans="1:27" ht="13.5" customHeight="1" x14ac:dyDescent="0.15">
      <c r="A86">
        <v>2006</v>
      </c>
      <c r="M86" s="27">
        <v>2006</v>
      </c>
      <c r="N86" s="21">
        <v>127769510</v>
      </c>
      <c r="O86" s="21">
        <f>11427309+6007446</f>
        <v>17434755</v>
      </c>
      <c r="P86" s="21">
        <v>6423999</v>
      </c>
      <c r="Q86" s="21">
        <v>15326565</v>
      </c>
      <c r="R86" s="21">
        <v>18916345</v>
      </c>
      <c r="S86" s="21">
        <v>15676671</v>
      </c>
      <c r="T86" s="21">
        <v>19244344</v>
      </c>
      <c r="U86" s="21">
        <v>15767183</v>
      </c>
      <c r="V86" s="21">
        <v>12226681</v>
      </c>
      <c r="W86" s="29">
        <v>5598406</v>
      </c>
      <c r="X86" s="29">
        <v>1154561</v>
      </c>
    </row>
    <row r="87" spans="1:27" ht="13.5" customHeight="1" x14ac:dyDescent="0.15">
      <c r="A87">
        <v>2007</v>
      </c>
      <c r="M87" s="27">
        <v>2007</v>
      </c>
      <c r="N87" s="21">
        <v>127770794</v>
      </c>
      <c r="O87" s="21">
        <f>11309127+1191292+1185226+1207402+1208543+1190951</f>
        <v>17292541</v>
      </c>
      <c r="P87" s="21">
        <f>1213356+1212193+1238137+1284633+1333318</f>
        <v>6281637</v>
      </c>
      <c r="Q87" s="21">
        <v>15033003</v>
      </c>
      <c r="R87" s="21">
        <v>18789917</v>
      </c>
      <c r="S87" s="21">
        <v>15952970</v>
      </c>
      <c r="T87" s="21">
        <v>18484251</v>
      </c>
      <c r="U87" s="21">
        <v>16310869</v>
      </c>
      <c r="V87" s="21">
        <v>12487116</v>
      </c>
      <c r="W87" s="29">
        <f>925754+876847+786620+677437+598992+533174+466894+440261+318647+291587</f>
        <v>5916213</v>
      </c>
      <c r="X87" s="29">
        <v>1222277</v>
      </c>
    </row>
    <row r="88" spans="1:27" ht="13.5" customHeight="1" x14ac:dyDescent="0.15">
      <c r="A88">
        <v>2008</v>
      </c>
      <c r="M88" s="27">
        <v>2008</v>
      </c>
      <c r="N88" s="21">
        <v>127692273</v>
      </c>
      <c r="O88" s="21">
        <v>17176236</v>
      </c>
      <c r="P88" s="21">
        <v>6155216</v>
      </c>
      <c r="Q88" s="21">
        <v>14735204</v>
      </c>
      <c r="R88" s="21">
        <v>18604398</v>
      </c>
      <c r="S88" s="21">
        <v>16187566</v>
      </c>
      <c r="T88" s="21">
        <v>17659375</v>
      </c>
      <c r="U88" s="21">
        <v>16998628</v>
      </c>
      <c r="V88" s="21">
        <v>12662784</v>
      </c>
      <c r="W88" s="29">
        <v>6232721</v>
      </c>
      <c r="X88" s="29">
        <v>1280145</v>
      </c>
    </row>
    <row r="89" spans="1:27" ht="13.5" customHeight="1" x14ac:dyDescent="0.15">
      <c r="A89">
        <v>2009</v>
      </c>
      <c r="M89" s="27">
        <v>2009</v>
      </c>
      <c r="N89" s="21">
        <v>127509567</v>
      </c>
      <c r="O89" s="21">
        <v>17010995</v>
      </c>
      <c r="P89" s="21">
        <v>6078561</v>
      </c>
      <c r="Q89" s="21">
        <v>14415457</v>
      </c>
      <c r="R89" s="21">
        <v>18306073</v>
      </c>
      <c r="S89" s="21">
        <v>16407336</v>
      </c>
      <c r="T89" s="21">
        <v>16872823</v>
      </c>
      <c r="U89" s="21">
        <v>17798058</v>
      </c>
      <c r="V89" s="21">
        <v>12723063</v>
      </c>
      <c r="W89" s="29">
        <v>6567407</v>
      </c>
      <c r="X89" s="29">
        <v>1329794</v>
      </c>
    </row>
    <row r="90" spans="1:27" ht="13.5" customHeight="1" x14ac:dyDescent="0.15">
      <c r="A90">
        <v>2010</v>
      </c>
      <c r="M90" s="51">
        <v>2010</v>
      </c>
      <c r="N90" s="21">
        <v>128056000</v>
      </c>
      <c r="O90" s="21">
        <f>10901800+1174300+1173400+1187700+1182800+1177600</f>
        <v>16797600</v>
      </c>
      <c r="P90" s="21">
        <f>1201100+1200900+1181500+1211800+1219100</f>
        <v>6014400</v>
      </c>
      <c r="Q90" s="21">
        <v>14060900</v>
      </c>
      <c r="R90" s="21">
        <v>17879600</v>
      </c>
      <c r="S90" s="21">
        <v>16634100</v>
      </c>
      <c r="T90" s="21">
        <v>16202300</v>
      </c>
      <c r="U90" s="21">
        <v>18116000</v>
      </c>
      <c r="V90" s="21">
        <v>12894300</v>
      </c>
      <c r="W90" s="53">
        <v>6809800</v>
      </c>
      <c r="X90" s="53">
        <v>1365100</v>
      </c>
    </row>
    <row r="91" spans="1:27" ht="13.5" customHeight="1" x14ac:dyDescent="0.15">
      <c r="M91" s="51">
        <v>2011</v>
      </c>
      <c r="N91" s="59">
        <v>127798704</v>
      </c>
      <c r="O91" s="59">
        <v>16705161</v>
      </c>
      <c r="P91" s="59">
        <v>6075392</v>
      </c>
      <c r="Q91" s="59">
        <v>13589216</v>
      </c>
      <c r="R91" s="59">
        <v>17804569</v>
      </c>
      <c r="S91" s="59">
        <v>17280830</v>
      </c>
      <c r="T91" s="59">
        <v>15959482</v>
      </c>
      <c r="U91" s="59">
        <v>18492571</v>
      </c>
      <c r="V91" s="59">
        <v>13326775</v>
      </c>
      <c r="W91" s="60">
        <v>7119034</v>
      </c>
      <c r="X91" s="60">
        <v>1445674</v>
      </c>
      <c r="Z91" s="5"/>
    </row>
    <row r="92" spans="1:27" ht="13.5" customHeight="1" x14ac:dyDescent="0.15">
      <c r="M92" s="51">
        <v>2012</v>
      </c>
      <c r="N92" s="59">
        <v>127515133</v>
      </c>
      <c r="O92" s="59">
        <v>16547016</v>
      </c>
      <c r="P92" s="59">
        <v>6049562</v>
      </c>
      <c r="Q92" s="59">
        <v>13320329</v>
      </c>
      <c r="R92" s="59">
        <v>17253437</v>
      </c>
      <c r="S92" s="59">
        <v>17673821</v>
      </c>
      <c r="T92" s="59">
        <v>15631681</v>
      </c>
      <c r="U92" s="59">
        <v>18450167</v>
      </c>
      <c r="V92" s="59">
        <v>13649788</v>
      </c>
      <c r="W92" s="60">
        <v>7411606</v>
      </c>
      <c r="X92" s="60">
        <v>1527726</v>
      </c>
      <c r="AA92" s="36"/>
    </row>
    <row r="93" spans="1:27" ht="13.5" customHeight="1" x14ac:dyDescent="0.15">
      <c r="M93" s="51">
        <v>2013</v>
      </c>
      <c r="N93" s="59">
        <v>127297686</v>
      </c>
      <c r="O93" s="59">
        <v>16390212</v>
      </c>
      <c r="P93" s="59">
        <v>6047155</v>
      </c>
      <c r="Q93" s="59">
        <v>13074161</v>
      </c>
      <c r="R93" s="59">
        <v>16683228</v>
      </c>
      <c r="S93" s="59">
        <v>18073273</v>
      </c>
      <c r="T93" s="59">
        <v>15465349</v>
      </c>
      <c r="U93" s="59">
        <v>18365543</v>
      </c>
      <c r="V93" s="59">
        <v>13897819</v>
      </c>
      <c r="W93" s="60">
        <v>7687612</v>
      </c>
      <c r="X93" s="60">
        <v>1613334</v>
      </c>
      <c r="AA93" s="36"/>
    </row>
    <row r="94" spans="1:27" ht="13.5" customHeight="1" x14ac:dyDescent="0.15">
      <c r="M94" s="51">
        <v>2014</v>
      </c>
      <c r="N94" s="59">
        <v>127082819</v>
      </c>
      <c r="O94" s="59">
        <v>16233253</v>
      </c>
      <c r="P94" s="59">
        <v>6005397</v>
      </c>
      <c r="Q94" s="59">
        <v>12880664</v>
      </c>
      <c r="R94" s="59">
        <v>16136825</v>
      </c>
      <c r="S94" s="59">
        <v>18401545</v>
      </c>
      <c r="T94" s="59">
        <v>15445384</v>
      </c>
      <c r="U94" s="59">
        <v>18134189</v>
      </c>
      <c r="V94" s="59">
        <v>14197438</v>
      </c>
      <c r="W94" s="60">
        <v>7931594</v>
      </c>
      <c r="X94" s="60">
        <v>1716530</v>
      </c>
      <c r="AA94" s="36"/>
    </row>
    <row r="95" spans="1:27" ht="13.5" customHeight="1" x14ac:dyDescent="0.15">
      <c r="M95" s="51">
        <v>2015</v>
      </c>
      <c r="N95" s="59">
        <v>127110000</v>
      </c>
      <c r="O95" s="59">
        <v>15864400</v>
      </c>
      <c r="P95" s="59">
        <v>5892500</v>
      </c>
      <c r="Q95" s="59">
        <v>12586700</v>
      </c>
      <c r="R95" s="59">
        <v>15447200</v>
      </c>
      <c r="S95" s="59">
        <v>18274200</v>
      </c>
      <c r="T95" s="59">
        <v>15338500</v>
      </c>
      <c r="U95" s="59">
        <v>17962600</v>
      </c>
      <c r="V95" s="59">
        <v>13943000</v>
      </c>
      <c r="W95" s="60">
        <v>8056400</v>
      </c>
      <c r="X95" s="60">
        <v>1838800</v>
      </c>
      <c r="AA95" s="36"/>
    </row>
    <row r="96" spans="1:27" x14ac:dyDescent="0.15">
      <c r="M96" s="51">
        <v>2016</v>
      </c>
      <c r="N96" s="59">
        <v>126932772</v>
      </c>
      <c r="O96" s="59">
        <v>15780367</v>
      </c>
      <c r="P96" s="59">
        <v>6039755</v>
      </c>
      <c r="Q96" s="59">
        <v>12543238</v>
      </c>
      <c r="R96" s="59">
        <v>15374598</v>
      </c>
      <c r="S96" s="59">
        <v>18994084</v>
      </c>
      <c r="T96" s="59">
        <v>15449822</v>
      </c>
      <c r="U96" s="59">
        <v>18434911</v>
      </c>
      <c r="V96" s="59">
        <v>13933301</v>
      </c>
      <c r="W96" s="60">
        <v>8455360</v>
      </c>
      <c r="X96" s="60">
        <v>1927336</v>
      </c>
      <c r="AA96" s="36"/>
    </row>
    <row r="97" spans="1:27" x14ac:dyDescent="0.15">
      <c r="M97" s="51">
        <v>2017</v>
      </c>
      <c r="N97" s="59">
        <v>126706210</v>
      </c>
      <c r="O97" s="59">
        <v>15592122</v>
      </c>
      <c r="P97" s="59">
        <v>5995246</v>
      </c>
      <c r="Q97" s="59">
        <v>12518695</v>
      </c>
      <c r="R97" s="59">
        <v>14996074</v>
      </c>
      <c r="S97" s="59">
        <v>18899538</v>
      </c>
      <c r="T97" s="59">
        <v>15748285</v>
      </c>
      <c r="U97" s="59">
        <v>17725443</v>
      </c>
      <c r="V97" s="59">
        <v>14487241</v>
      </c>
      <c r="W97" s="60">
        <v>8688983</v>
      </c>
      <c r="X97" s="60">
        <v>2054583</v>
      </c>
      <c r="AA97" s="36"/>
    </row>
    <row r="98" spans="1:27" x14ac:dyDescent="0.15">
      <c r="M98" s="51">
        <v>2018</v>
      </c>
      <c r="N98" s="59">
        <v>126443180</v>
      </c>
      <c r="O98" s="59">
        <v>15414562</v>
      </c>
      <c r="P98" s="59">
        <v>5906609</v>
      </c>
      <c r="Q98" s="59">
        <v>12552808</v>
      </c>
      <c r="R98" s="59">
        <v>14630009</v>
      </c>
      <c r="S98" s="59">
        <v>18759336</v>
      </c>
      <c r="T98" s="59">
        <v>16010843</v>
      </c>
      <c r="U98" s="59">
        <v>16959225</v>
      </c>
      <c r="V98" s="59">
        <v>15166375</v>
      </c>
      <c r="W98" s="60">
        <v>8860969</v>
      </c>
      <c r="X98" s="60">
        <v>2182444</v>
      </c>
      <c r="AA98" s="36"/>
    </row>
    <row r="99" spans="1:27" x14ac:dyDescent="0.15">
      <c r="M99" s="51">
        <v>2019</v>
      </c>
      <c r="N99" s="59">
        <v>126166948</v>
      </c>
      <c r="O99" s="79">
        <v>15210332</v>
      </c>
      <c r="P99" s="79">
        <v>5820227</v>
      </c>
      <c r="Q99" s="79">
        <v>12627964</v>
      </c>
      <c r="R99" s="79">
        <v>14303042</v>
      </c>
      <c r="S99" s="79">
        <v>18519755</v>
      </c>
      <c r="T99" s="79">
        <v>16277853</v>
      </c>
      <c r="U99" s="79">
        <v>16231582</v>
      </c>
      <c r="V99" s="79">
        <v>15926926</v>
      </c>
      <c r="W99" s="81">
        <v>8939954</v>
      </c>
      <c r="X99" s="81">
        <v>2309313</v>
      </c>
      <c r="AA99" s="36"/>
    </row>
    <row r="100" spans="1:27" x14ac:dyDescent="0.15">
      <c r="M100" s="51">
        <v>2020</v>
      </c>
      <c r="N100" s="59">
        <v>126146099</v>
      </c>
      <c r="O100" s="79">
        <v>15031602</v>
      </c>
      <c r="P100" s="79">
        <v>5706306</v>
      </c>
      <c r="Q100" s="79">
        <v>12704110</v>
      </c>
      <c r="R100" s="79">
        <v>14212148</v>
      </c>
      <c r="S100" s="79">
        <v>18344698</v>
      </c>
      <c r="T100" s="79">
        <v>16678211</v>
      </c>
      <c r="U100" s="79">
        <v>15678666</v>
      </c>
      <c r="V100" s="79">
        <v>16253175</v>
      </c>
      <c r="W100" s="81">
        <v>9145845</v>
      </c>
      <c r="X100" s="81">
        <v>2391338</v>
      </c>
      <c r="AA100" s="36"/>
    </row>
    <row r="101" spans="1:27" x14ac:dyDescent="0.15">
      <c r="M101" s="51">
        <v>2021</v>
      </c>
      <c r="N101" s="59">
        <v>125502290</v>
      </c>
      <c r="O101" s="79">
        <v>14784279</v>
      </c>
      <c r="P101" s="79">
        <v>5579706</v>
      </c>
      <c r="Q101" s="79">
        <v>12642363</v>
      </c>
      <c r="R101" s="79">
        <v>13909496</v>
      </c>
      <c r="S101" s="79">
        <v>17904369</v>
      </c>
      <c r="T101" s="79">
        <v>17076446</v>
      </c>
      <c r="U101" s="79">
        <v>15260403</v>
      </c>
      <c r="V101" s="79">
        <v>16383850</v>
      </c>
      <c r="W101" s="81">
        <v>9434899</v>
      </c>
      <c r="X101" s="81">
        <v>2526479</v>
      </c>
      <c r="AA101" s="36"/>
    </row>
    <row r="102" spans="1:27" x14ac:dyDescent="0.15">
      <c r="M102" s="52">
        <v>2022</v>
      </c>
      <c r="N102" s="55">
        <v>124946789</v>
      </c>
      <c r="O102" s="68">
        <v>14502637</v>
      </c>
      <c r="P102" s="68">
        <v>5512327</v>
      </c>
      <c r="Q102" s="68">
        <v>12675356</v>
      </c>
      <c r="R102" s="68">
        <v>13657636</v>
      </c>
      <c r="S102" s="68">
        <v>17408228</v>
      </c>
      <c r="T102" s="68">
        <v>17509965</v>
      </c>
      <c r="U102" s="68">
        <v>14979372</v>
      </c>
      <c r="V102" s="68">
        <v>16366440</v>
      </c>
      <c r="W102" s="68">
        <v>9697711</v>
      </c>
      <c r="X102" s="68">
        <v>2637117</v>
      </c>
      <c r="AA102" s="36"/>
    </row>
    <row r="103" spans="1:27" x14ac:dyDescent="0.15">
      <c r="A103" t="s">
        <v>14</v>
      </c>
      <c r="M103" t="s">
        <v>14</v>
      </c>
    </row>
    <row r="104" spans="1:27" x14ac:dyDescent="0.15">
      <c r="B104" t="s">
        <v>1</v>
      </c>
      <c r="C104" t="s">
        <v>2</v>
      </c>
      <c r="D104" t="s">
        <v>3</v>
      </c>
      <c r="E104" t="s">
        <v>4</v>
      </c>
      <c r="F104" t="s">
        <v>5</v>
      </c>
      <c r="G104" t="s">
        <v>6</v>
      </c>
      <c r="H104" t="s">
        <v>7</v>
      </c>
      <c r="I104" t="s">
        <v>8</v>
      </c>
      <c r="J104" t="s">
        <v>9</v>
      </c>
      <c r="K104" t="s">
        <v>25</v>
      </c>
      <c r="N104" t="s">
        <v>1</v>
      </c>
      <c r="O104" t="s">
        <v>2</v>
      </c>
      <c r="P104" t="s">
        <v>3</v>
      </c>
      <c r="Q104" t="s">
        <v>4</v>
      </c>
      <c r="R104" t="s">
        <v>5</v>
      </c>
      <c r="S104" t="s">
        <v>6</v>
      </c>
      <c r="T104" t="s">
        <v>7</v>
      </c>
      <c r="U104" t="s">
        <v>8</v>
      </c>
      <c r="V104" t="s">
        <v>9</v>
      </c>
      <c r="W104" t="s">
        <v>23</v>
      </c>
      <c r="X104" t="s">
        <v>37</v>
      </c>
    </row>
    <row r="105" spans="1:27" x14ac:dyDescent="0.15">
      <c r="A105">
        <v>75</v>
      </c>
      <c r="B105" s="19">
        <f t="shared" ref="B105:J105" si="0">+B5*100/B55</f>
        <v>12.242035485196634</v>
      </c>
      <c r="C105" s="19">
        <f t="shared" si="0"/>
        <v>0.26847118531867165</v>
      </c>
      <c r="D105" s="19">
        <f t="shared" si="0"/>
        <v>3.6704214656372609</v>
      </c>
      <c r="E105" s="19">
        <f t="shared" si="0"/>
        <v>10.567191101312757</v>
      </c>
      <c r="F105" s="19">
        <f t="shared" si="0"/>
        <v>12.072377721232684</v>
      </c>
      <c r="G105" s="19">
        <f t="shared" si="0"/>
        <v>17.34130043690568</v>
      </c>
      <c r="H105" s="19">
        <f t="shared" si="0"/>
        <v>22.773792443806791</v>
      </c>
      <c r="I105" s="19">
        <f t="shared" si="0"/>
        <v>29.878678368611254</v>
      </c>
      <c r="J105" s="19">
        <f t="shared" si="0"/>
        <v>31.576016335622796</v>
      </c>
      <c r="M105">
        <v>75</v>
      </c>
    </row>
    <row r="106" spans="1:27" ht="13.5" customHeight="1" x14ac:dyDescent="0.15">
      <c r="A106">
        <v>76</v>
      </c>
      <c r="B106" s="19">
        <f t="shared" ref="B106:J106" si="1">+B6*100/B56</f>
        <v>11.814017650283855</v>
      </c>
      <c r="C106" s="19">
        <f t="shared" si="1"/>
        <v>0.23675104716809325</v>
      </c>
      <c r="D106" s="19">
        <f t="shared" si="1"/>
        <v>3.7163876204972097</v>
      </c>
      <c r="E106" s="19">
        <f t="shared" si="1"/>
        <v>10.186384929731885</v>
      </c>
      <c r="F106" s="19">
        <f t="shared" si="1"/>
        <v>11.330955941562177</v>
      </c>
      <c r="G106" s="19">
        <f t="shared" si="1"/>
        <v>16.523821527602724</v>
      </c>
      <c r="H106" s="19">
        <f t="shared" si="1"/>
        <v>21.798990362551628</v>
      </c>
      <c r="I106" s="19">
        <f t="shared" si="1"/>
        <v>28.395989974937343</v>
      </c>
      <c r="J106" s="19">
        <f t="shared" si="1"/>
        <v>31.064289573203673</v>
      </c>
      <c r="M106">
        <v>76</v>
      </c>
    </row>
    <row r="107" spans="1:27" ht="13.5" customHeight="1" x14ac:dyDescent="0.15">
      <c r="A107">
        <v>77</v>
      </c>
      <c r="B107" s="19">
        <f t="shared" ref="B107:J107" si="2">+B7*100/B57</f>
        <v>11.714876395045289</v>
      </c>
      <c r="C107" s="19">
        <f t="shared" si="2"/>
        <v>0.28209764918625679</v>
      </c>
      <c r="D107" s="19">
        <f t="shared" si="2"/>
        <v>3.3412887828162292</v>
      </c>
      <c r="E107" s="19">
        <f t="shared" si="2"/>
        <v>9.6994322029483779</v>
      </c>
      <c r="F107" s="19">
        <f t="shared" si="2"/>
        <v>11.427774679308422</v>
      </c>
      <c r="G107" s="19">
        <f t="shared" si="2"/>
        <v>15.87360594795539</v>
      </c>
      <c r="H107" s="19">
        <f t="shared" si="2"/>
        <v>20.840306526909188</v>
      </c>
      <c r="I107" s="19">
        <f t="shared" si="2"/>
        <v>29.82803414573797</v>
      </c>
      <c r="J107" s="19">
        <f t="shared" si="2"/>
        <v>30.462328767123289</v>
      </c>
      <c r="M107">
        <v>77</v>
      </c>
    </row>
    <row r="108" spans="1:27" ht="13.5" customHeight="1" x14ac:dyDescent="0.15">
      <c r="A108">
        <v>78</v>
      </c>
      <c r="B108" s="19">
        <f t="shared" ref="B108:J108" si="3">+B8*100/B58</f>
        <v>11.459183496275202</v>
      </c>
      <c r="C108" s="19">
        <f t="shared" si="3"/>
        <v>0.22737115634473798</v>
      </c>
      <c r="D108" s="19">
        <f t="shared" si="3"/>
        <v>3.0061120119745541</v>
      </c>
      <c r="E108" s="19">
        <f t="shared" si="3"/>
        <v>8.914940021810251</v>
      </c>
      <c r="F108" s="19">
        <f t="shared" si="3"/>
        <v>10.25297459534784</v>
      </c>
      <c r="G108" s="19">
        <f t="shared" si="3"/>
        <v>15.527187921934454</v>
      </c>
      <c r="H108" s="19">
        <f t="shared" si="3"/>
        <v>20.916905444126076</v>
      </c>
      <c r="I108" s="19">
        <f t="shared" si="3"/>
        <v>29.61787327554633</v>
      </c>
      <c r="J108" s="19">
        <f t="shared" si="3"/>
        <v>31.288947195801903</v>
      </c>
      <c r="M108">
        <v>78</v>
      </c>
    </row>
    <row r="109" spans="1:27" ht="13.5" customHeight="1" x14ac:dyDescent="0.15">
      <c r="A109">
        <v>79</v>
      </c>
      <c r="B109" s="19">
        <f t="shared" ref="B109:J109" si="4">+B9*100/B59</f>
        <v>11.027012132641024</v>
      </c>
      <c r="C109" s="19">
        <f t="shared" si="4"/>
        <v>0.15905147484094853</v>
      </c>
      <c r="D109" s="19">
        <f t="shared" si="4"/>
        <v>2.4417451660882499</v>
      </c>
      <c r="E109" s="19">
        <f t="shared" si="4"/>
        <v>8.2829435253850541</v>
      </c>
      <c r="F109" s="19">
        <f t="shared" si="4"/>
        <v>9.7888478884788857</v>
      </c>
      <c r="G109" s="19">
        <f t="shared" si="4"/>
        <v>13.816597102872576</v>
      </c>
      <c r="H109" s="19">
        <f t="shared" si="4"/>
        <v>19.872980143098321</v>
      </c>
      <c r="I109" s="19">
        <f t="shared" si="4"/>
        <v>28.241864983001456</v>
      </c>
      <c r="J109" s="19">
        <f t="shared" si="4"/>
        <v>33.698372966207756</v>
      </c>
      <c r="M109">
        <v>79</v>
      </c>
    </row>
    <row r="110" spans="1:27" ht="13.5" customHeight="1" x14ac:dyDescent="0.15">
      <c r="A110">
        <v>80</v>
      </c>
      <c r="B110" s="19">
        <f t="shared" ref="B110:J110" si="5">+B10*100/B60</f>
        <v>10.512675767217489</v>
      </c>
      <c r="C110" s="19">
        <f t="shared" si="5"/>
        <v>0.13075218828315113</v>
      </c>
      <c r="D110" s="19">
        <f t="shared" si="5"/>
        <v>2.1147301895964996</v>
      </c>
      <c r="E110" s="19">
        <f t="shared" si="5"/>
        <v>7.1695206494045154</v>
      </c>
      <c r="F110" s="19">
        <f t="shared" si="5"/>
        <v>9.2136854741896759</v>
      </c>
      <c r="G110" s="19">
        <f t="shared" si="5"/>
        <v>12.8237947217651</v>
      </c>
      <c r="H110" s="19">
        <f t="shared" si="5"/>
        <v>19.163081736409854</v>
      </c>
      <c r="I110" s="19">
        <f t="shared" si="5"/>
        <v>27.153736316039982</v>
      </c>
      <c r="J110" s="19">
        <f t="shared" si="5"/>
        <v>33.006929798131971</v>
      </c>
      <c r="M110">
        <v>80</v>
      </c>
    </row>
    <row r="111" spans="1:27" ht="13.5" customHeight="1" x14ac:dyDescent="0.15">
      <c r="A111">
        <v>81</v>
      </c>
      <c r="B111" s="19">
        <f t="shared" ref="B111:J111" si="6">+B11*100/B61</f>
        <v>10.361032879780122</v>
      </c>
      <c r="C111" s="19">
        <f t="shared" si="6"/>
        <v>0.16302575806977501</v>
      </c>
      <c r="D111" s="19">
        <f t="shared" si="6"/>
        <v>2.2080471050049066</v>
      </c>
      <c r="E111" s="19">
        <f t="shared" si="6"/>
        <v>6.7381503594492509</v>
      </c>
      <c r="F111" s="19">
        <f t="shared" si="6"/>
        <v>8.657577868444621</v>
      </c>
      <c r="G111" s="19">
        <f t="shared" si="6"/>
        <v>12.553051587064379</v>
      </c>
      <c r="H111" s="19">
        <f t="shared" si="6"/>
        <v>19.01297532438311</v>
      </c>
      <c r="I111" s="19">
        <f t="shared" si="6"/>
        <v>26.550116550116549</v>
      </c>
      <c r="J111" s="19">
        <f t="shared" si="6"/>
        <v>31.956989247311828</v>
      </c>
      <c r="M111">
        <v>81</v>
      </c>
    </row>
    <row r="112" spans="1:27" ht="13.5" customHeight="1" x14ac:dyDescent="0.15">
      <c r="A112">
        <v>82</v>
      </c>
      <c r="B112" s="19">
        <f t="shared" ref="B112:J112" si="7">+B12*100/B62</f>
        <v>10.656904787982443</v>
      </c>
      <c r="C112" s="19">
        <f t="shared" si="7"/>
        <v>0.14309826080575327</v>
      </c>
      <c r="D112" s="19">
        <f t="shared" si="7"/>
        <v>1.9610173520323271</v>
      </c>
      <c r="E112" s="19">
        <f t="shared" si="7"/>
        <v>7.2005467196819088</v>
      </c>
      <c r="F112" s="19">
        <f t="shared" si="7"/>
        <v>8.1869886250249451</v>
      </c>
      <c r="G112" s="19">
        <f t="shared" si="7"/>
        <v>12.139543078639807</v>
      </c>
      <c r="H112" s="19">
        <f t="shared" si="7"/>
        <v>19.551374819102751</v>
      </c>
      <c r="I112" s="19">
        <f t="shared" si="7"/>
        <v>26.5546410608139</v>
      </c>
      <c r="J112" s="19">
        <f t="shared" si="7"/>
        <v>35.01577287066246</v>
      </c>
      <c r="M112">
        <v>82</v>
      </c>
    </row>
    <row r="113" spans="1:23" ht="13.5" customHeight="1" x14ac:dyDescent="0.15">
      <c r="A113">
        <v>83</v>
      </c>
      <c r="B113" s="19">
        <f t="shared" ref="B113:J113" si="8">+B13*100/B63</f>
        <v>10.888578291472427</v>
      </c>
      <c r="C113" s="19">
        <f t="shared" si="8"/>
        <v>0.13007284079084286</v>
      </c>
      <c r="D113" s="19">
        <f t="shared" si="8"/>
        <v>2.0644861980978892</v>
      </c>
      <c r="E113" s="19">
        <f t="shared" si="8"/>
        <v>6.5629313590161873</v>
      </c>
      <c r="F113" s="19">
        <f t="shared" si="8"/>
        <v>8.2100406239029038</v>
      </c>
      <c r="G113" s="19">
        <f t="shared" si="8"/>
        <v>12.170785473952895</v>
      </c>
      <c r="H113" s="19">
        <f t="shared" si="8"/>
        <v>19.516806722689076</v>
      </c>
      <c r="I113" s="19">
        <f t="shared" si="8"/>
        <v>27.5315395779837</v>
      </c>
      <c r="J113" s="19">
        <f t="shared" si="8"/>
        <v>36.350480199973688</v>
      </c>
      <c r="M113">
        <v>83</v>
      </c>
    </row>
    <row r="114" spans="1:23" ht="13.5" customHeight="1" x14ac:dyDescent="0.15">
      <c r="A114">
        <v>84</v>
      </c>
      <c r="B114" s="19">
        <f t="shared" ref="B114:J114" si="9">+B14*100/B64</f>
        <v>11.042541689191999</v>
      </c>
      <c r="C114" s="19">
        <f t="shared" si="9"/>
        <v>0.12073649260488983</v>
      </c>
      <c r="D114" s="19">
        <f t="shared" si="9"/>
        <v>2.4801812004530013</v>
      </c>
      <c r="E114" s="19">
        <f t="shared" si="9"/>
        <v>6.5374239287282769</v>
      </c>
      <c r="F114" s="19">
        <f t="shared" si="9"/>
        <v>7.9328756674294434</v>
      </c>
      <c r="G114" s="19">
        <f t="shared" si="9"/>
        <v>11.87949332420404</v>
      </c>
      <c r="H114" s="19">
        <f t="shared" si="9"/>
        <v>19.616015304728069</v>
      </c>
      <c r="I114" s="19">
        <f t="shared" si="9"/>
        <v>27.189840442852493</v>
      </c>
      <c r="J114" s="19">
        <f t="shared" si="9"/>
        <v>37.43531490596996</v>
      </c>
      <c r="M114">
        <v>84</v>
      </c>
    </row>
    <row r="115" spans="1:23" ht="13.5" customHeight="1" x14ac:dyDescent="0.15">
      <c r="A115">
        <v>85</v>
      </c>
      <c r="B115" s="19">
        <f t="shared" ref="B115:J115" si="10">+B15*100/B65</f>
        <v>11.409118701766563</v>
      </c>
      <c r="C115" s="19">
        <f t="shared" si="10"/>
        <v>0.11496895838123707</v>
      </c>
      <c r="D115" s="19">
        <f t="shared" si="10"/>
        <v>2.3846668152440382</v>
      </c>
      <c r="E115" s="19">
        <f t="shared" si="10"/>
        <v>6.7654198045683698</v>
      </c>
      <c r="F115" s="19">
        <f t="shared" si="10"/>
        <v>7.8488664987405539</v>
      </c>
      <c r="G115" s="19">
        <f t="shared" si="10"/>
        <v>11.785755511947363</v>
      </c>
      <c r="H115" s="19">
        <f t="shared" si="10"/>
        <v>19.148650463273803</v>
      </c>
      <c r="I115" s="19">
        <f t="shared" si="10"/>
        <v>27.658241069563402</v>
      </c>
      <c r="J115" s="19">
        <f t="shared" si="10"/>
        <v>41.142787524366469</v>
      </c>
      <c r="M115">
        <v>85</v>
      </c>
    </row>
    <row r="116" spans="1:23" ht="13.5" customHeight="1" x14ac:dyDescent="0.15">
      <c r="A116">
        <v>86</v>
      </c>
      <c r="B116" s="19">
        <f t="shared" ref="B116:J116" si="11">+B16*100/B66</f>
        <v>11.296765073311855</v>
      </c>
      <c r="C116" s="19">
        <f t="shared" si="11"/>
        <v>0.18479201069434614</v>
      </c>
      <c r="D116" s="19">
        <f t="shared" si="11"/>
        <v>2.2184838607927664</v>
      </c>
      <c r="E116" s="19">
        <f t="shared" si="11"/>
        <v>6.3800277392510401</v>
      </c>
      <c r="F116" s="19">
        <f t="shared" si="11"/>
        <v>7.5777331995987964</v>
      </c>
      <c r="G116" s="19">
        <f t="shared" si="11"/>
        <v>11.536435469710272</v>
      </c>
      <c r="H116" s="19">
        <f t="shared" si="11"/>
        <v>18.553521034324341</v>
      </c>
      <c r="I116" s="19">
        <f t="shared" si="11"/>
        <v>27.594127634075701</v>
      </c>
      <c r="J116" s="19">
        <f t="shared" si="11"/>
        <v>39.62505822077317</v>
      </c>
      <c r="M116">
        <v>86</v>
      </c>
    </row>
    <row r="117" spans="1:23" ht="13.5" customHeight="1" x14ac:dyDescent="0.15">
      <c r="A117">
        <v>87</v>
      </c>
      <c r="B117" s="19">
        <f t="shared" ref="B117:J117" si="12">+B17*100/B67</f>
        <v>11.781881829483741</v>
      </c>
      <c r="C117" s="19">
        <f t="shared" si="12"/>
        <v>9.2547883470143241E-2</v>
      </c>
      <c r="D117" s="19">
        <f t="shared" si="12"/>
        <v>2.6733500417710943</v>
      </c>
      <c r="E117" s="19">
        <f t="shared" si="12"/>
        <v>6.4352766798418974</v>
      </c>
      <c r="F117" s="19">
        <f t="shared" si="12"/>
        <v>8.0668756530825494</v>
      </c>
      <c r="G117" s="19">
        <f t="shared" si="12"/>
        <v>11.273982681532628</v>
      </c>
      <c r="H117" s="19">
        <f t="shared" si="12"/>
        <v>19.512825482974737</v>
      </c>
      <c r="I117" s="19">
        <f t="shared" si="12"/>
        <v>26.579374940265698</v>
      </c>
      <c r="J117" s="9">
        <f t="shared" si="12"/>
        <v>41.586163913991896</v>
      </c>
      <c r="K117" s="9">
        <f t="shared" ref="K117:K128" si="13">+K17*100/K67</f>
        <v>43.422114608555283</v>
      </c>
      <c r="M117">
        <v>87</v>
      </c>
    </row>
    <row r="118" spans="1:23" ht="13.5" customHeight="1" x14ac:dyDescent="0.15">
      <c r="A118">
        <v>88</v>
      </c>
      <c r="B118" s="19">
        <f t="shared" ref="B118:J118" si="14">+B18*100/B68</f>
        <v>11.884381388302941</v>
      </c>
      <c r="C118" s="19">
        <f t="shared" si="14"/>
        <v>0.14175526370648323</v>
      </c>
      <c r="D118" s="19">
        <f t="shared" si="14"/>
        <v>2.0222446916076846</v>
      </c>
      <c r="E118" s="19">
        <f t="shared" si="14"/>
        <v>6.7168711283857645</v>
      </c>
      <c r="F118" s="19">
        <f t="shared" si="14"/>
        <v>7.7230213859869821</v>
      </c>
      <c r="G118" s="19">
        <f t="shared" si="14"/>
        <v>11.118953254791249</v>
      </c>
      <c r="H118" s="19">
        <f t="shared" si="14"/>
        <v>18.706416735973388</v>
      </c>
      <c r="I118" s="19">
        <f t="shared" si="14"/>
        <v>27.120658135283364</v>
      </c>
      <c r="J118" s="9">
        <f t="shared" si="14"/>
        <v>41.35453294603272</v>
      </c>
      <c r="K118" s="9">
        <f t="shared" si="13"/>
        <v>45.509893455098933</v>
      </c>
      <c r="M118">
        <v>88</v>
      </c>
    </row>
    <row r="119" spans="1:23" ht="13.5" customHeight="1" x14ac:dyDescent="0.15">
      <c r="A119">
        <v>89</v>
      </c>
      <c r="B119" s="19">
        <f t="shared" ref="B119:J119" si="15">+B19*100/B69</f>
        <v>11.934607115330007</v>
      </c>
      <c r="C119" s="19">
        <f t="shared" si="15"/>
        <v>0.1336206896551724</v>
      </c>
      <c r="D119" s="19">
        <f t="shared" si="15"/>
        <v>2.2242170357071616</v>
      </c>
      <c r="E119" s="19">
        <f t="shared" si="15"/>
        <v>6.5663801337153771</v>
      </c>
      <c r="F119" s="19">
        <f t="shared" si="15"/>
        <v>7.8535830898779855</v>
      </c>
      <c r="G119" s="19">
        <f t="shared" si="15"/>
        <v>10.631349782293178</v>
      </c>
      <c r="H119" s="19">
        <f t="shared" si="15"/>
        <v>17.666240409207163</v>
      </c>
      <c r="I119" s="19">
        <f t="shared" si="15"/>
        <v>26.732328074609953</v>
      </c>
      <c r="J119" s="9">
        <f t="shared" si="15"/>
        <v>43.323756237713596</v>
      </c>
      <c r="K119" s="9">
        <f t="shared" si="13"/>
        <v>44.281629735525378</v>
      </c>
      <c r="M119">
        <v>89</v>
      </c>
    </row>
    <row r="120" spans="1:23" ht="13.5" customHeight="1" x14ac:dyDescent="0.15">
      <c r="A120">
        <v>90</v>
      </c>
      <c r="B120" s="19">
        <f t="shared" ref="B120:J120" si="16">+B20*100/B70</f>
        <v>12.537820564679233</v>
      </c>
      <c r="C120" s="19">
        <f t="shared" si="16"/>
        <v>0.11560693641618497</v>
      </c>
      <c r="D120" s="19">
        <f t="shared" si="16"/>
        <v>2.2255489021956087</v>
      </c>
      <c r="E120" s="19">
        <f t="shared" si="16"/>
        <v>6.6160140268848631</v>
      </c>
      <c r="F120" s="19">
        <f t="shared" si="16"/>
        <v>7.4137931034482758</v>
      </c>
      <c r="G120" s="19">
        <f t="shared" si="16"/>
        <v>11.577079107505071</v>
      </c>
      <c r="H120" s="19">
        <f t="shared" si="16"/>
        <v>17.972204674668351</v>
      </c>
      <c r="I120" s="19">
        <f t="shared" si="16"/>
        <v>28.741554054054053</v>
      </c>
      <c r="J120" s="9">
        <f t="shared" si="16"/>
        <v>42.861322410766533</v>
      </c>
      <c r="K120" s="9">
        <f t="shared" si="13"/>
        <v>47.681895093062607</v>
      </c>
      <c r="M120">
        <v>90</v>
      </c>
    </row>
    <row r="121" spans="1:23" ht="13.5" customHeight="1" x14ac:dyDescent="0.15">
      <c r="A121">
        <v>91</v>
      </c>
      <c r="B121" s="19">
        <f t="shared" ref="B121:J121" si="17">+B21*100/B71</f>
        <v>12.322339833767323</v>
      </c>
      <c r="C121" s="19">
        <f t="shared" si="17"/>
        <v>0.11869978086194302</v>
      </c>
      <c r="D121" s="19">
        <f t="shared" si="17"/>
        <v>1.8993736108304708</v>
      </c>
      <c r="E121" s="19">
        <f t="shared" si="17"/>
        <v>6.3136690647482014</v>
      </c>
      <c r="F121" s="19">
        <f t="shared" si="17"/>
        <v>7.1280107592615236</v>
      </c>
      <c r="G121" s="19">
        <f t="shared" si="17"/>
        <v>11.39030162646659</v>
      </c>
      <c r="H121" s="19">
        <f t="shared" si="17"/>
        <v>16.860753221010903</v>
      </c>
      <c r="I121" s="19">
        <f t="shared" si="17"/>
        <v>27.736398963730569</v>
      </c>
      <c r="J121" s="9">
        <f t="shared" si="17"/>
        <v>41.579923000142593</v>
      </c>
      <c r="K121" s="9">
        <f t="shared" si="13"/>
        <v>47.197452229299365</v>
      </c>
      <c r="M121">
        <v>91</v>
      </c>
    </row>
    <row r="122" spans="1:23" ht="13.5" customHeight="1" x14ac:dyDescent="0.15">
      <c r="A122">
        <v>92</v>
      </c>
      <c r="B122" s="19">
        <f t="shared" ref="B122:J122" si="18">+B22*100/B72</f>
        <v>12.486741876386077</v>
      </c>
      <c r="C122" s="19">
        <f t="shared" si="18"/>
        <v>0.12170005616925669</v>
      </c>
      <c r="D122" s="19">
        <f t="shared" si="18"/>
        <v>1.8911055694098089</v>
      </c>
      <c r="E122" s="19">
        <f t="shared" si="18"/>
        <v>6.2804638915345397</v>
      </c>
      <c r="F122" s="19">
        <f t="shared" si="18"/>
        <v>6.9681846537741734</v>
      </c>
      <c r="G122" s="19">
        <f t="shared" si="18"/>
        <v>11.361113913833115</v>
      </c>
      <c r="H122" s="19">
        <f t="shared" si="18"/>
        <v>16.552101709349717</v>
      </c>
      <c r="I122" s="19">
        <f t="shared" si="18"/>
        <v>26.970241349683668</v>
      </c>
      <c r="J122" s="9">
        <f t="shared" si="18"/>
        <v>41.883433022673529</v>
      </c>
      <c r="K122" s="9">
        <f t="shared" si="13"/>
        <v>49.729891956782716</v>
      </c>
      <c r="M122">
        <v>92</v>
      </c>
    </row>
    <row r="123" spans="1:23" ht="13.5" customHeight="1" x14ac:dyDescent="0.15">
      <c r="A123">
        <v>93</v>
      </c>
      <c r="B123" s="19">
        <f t="shared" ref="B123:J123" si="19">+B23*100/B73</f>
        <v>12.191016639415215</v>
      </c>
      <c r="C123" s="19">
        <f t="shared" si="19"/>
        <v>0.1343505589942901</v>
      </c>
      <c r="D123" s="19">
        <f t="shared" si="19"/>
        <v>1.4894765245547761</v>
      </c>
      <c r="E123" s="19">
        <f t="shared" si="19"/>
        <v>6.4258783673023334</v>
      </c>
      <c r="F123" s="19">
        <f t="shared" si="19"/>
        <v>6.745756294566795</v>
      </c>
      <c r="G123" s="19">
        <f t="shared" si="19"/>
        <v>10.443374714973398</v>
      </c>
      <c r="H123" s="19">
        <f t="shared" si="19"/>
        <v>15.756592779479787</v>
      </c>
      <c r="I123" s="19">
        <f t="shared" si="19"/>
        <v>25.73373676248109</v>
      </c>
      <c r="J123" s="9">
        <f t="shared" si="19"/>
        <v>40.630496549857938</v>
      </c>
      <c r="K123" s="9">
        <f t="shared" si="13"/>
        <v>48.620983793005401</v>
      </c>
      <c r="M123">
        <v>93</v>
      </c>
    </row>
    <row r="124" spans="1:23" ht="13.5" customHeight="1" x14ac:dyDescent="0.15">
      <c r="A124">
        <v>94</v>
      </c>
      <c r="B124" s="19">
        <f t="shared" ref="B124:J124" si="20">+B24*100/B74</f>
        <v>11.818385399171426</v>
      </c>
      <c r="C124" s="19">
        <f t="shared" si="20"/>
        <v>0.1322621730185167</v>
      </c>
      <c r="D124" s="19">
        <f t="shared" si="20"/>
        <v>1.623999097778279</v>
      </c>
      <c r="E124" s="19">
        <f t="shared" si="20"/>
        <v>5.6704898702969233</v>
      </c>
      <c r="F124" s="19">
        <f t="shared" si="20"/>
        <v>6.5240777067645386</v>
      </c>
      <c r="G124" s="19">
        <f t="shared" si="20"/>
        <v>9.5788392398561886</v>
      </c>
      <c r="H124" s="19">
        <f t="shared" si="20"/>
        <v>15.192716954362734</v>
      </c>
      <c r="I124" s="19">
        <f t="shared" si="20"/>
        <v>24.219384365542187</v>
      </c>
      <c r="J124" s="9">
        <f t="shared" si="20"/>
        <v>39.761717727153702</v>
      </c>
      <c r="K124" s="9">
        <f t="shared" si="13"/>
        <v>47.43210540467868</v>
      </c>
      <c r="M124">
        <v>94</v>
      </c>
    </row>
    <row r="125" spans="1:23" ht="13.5" customHeight="1" x14ac:dyDescent="0.15">
      <c r="A125">
        <v>95</v>
      </c>
      <c r="B125" s="19">
        <f t="shared" ref="B125:J125" si="21">+B25*100/B75</f>
        <v>12.027650136578295</v>
      </c>
      <c r="C125" s="19">
        <f t="shared" si="21"/>
        <v>0.14530514079567092</v>
      </c>
      <c r="D125" s="19">
        <f t="shared" si="21"/>
        <v>1.2696563774024461</v>
      </c>
      <c r="E125" s="19">
        <f t="shared" si="21"/>
        <v>5.8213412978550094</v>
      </c>
      <c r="F125" s="19">
        <f t="shared" si="21"/>
        <v>6.816740646797717</v>
      </c>
      <c r="G125" s="19">
        <f t="shared" si="21"/>
        <v>9.887525562372188</v>
      </c>
      <c r="H125" s="19">
        <f t="shared" si="21"/>
        <v>15.538199541957837</v>
      </c>
      <c r="I125" s="19">
        <f t="shared" si="21"/>
        <v>23.315691603490201</v>
      </c>
      <c r="J125" s="9">
        <f t="shared" si="21"/>
        <v>38.533007334963322</v>
      </c>
      <c r="K125" s="9">
        <f t="shared" si="13"/>
        <v>45.627186406796604</v>
      </c>
      <c r="M125">
        <v>95</v>
      </c>
    </row>
    <row r="126" spans="1:23" ht="13.5" customHeight="1" x14ac:dyDescent="0.15">
      <c r="A126">
        <v>96</v>
      </c>
      <c r="B126" s="19">
        <f t="shared" ref="B126:J126" si="22">+B26*100/B76</f>
        <v>11.945433165956906</v>
      </c>
      <c r="C126" s="19">
        <f t="shared" si="22"/>
        <v>0.13715330691862238</v>
      </c>
      <c r="D126" s="19">
        <f t="shared" si="22"/>
        <v>1.4921751789397064</v>
      </c>
      <c r="E126" s="19">
        <f t="shared" si="22"/>
        <v>5.9644537375849449</v>
      </c>
      <c r="F126" s="19">
        <f t="shared" si="22"/>
        <v>6.3890473474044498</v>
      </c>
      <c r="G126" s="19">
        <f t="shared" si="22"/>
        <v>10.126838142402345</v>
      </c>
      <c r="H126" s="19">
        <f t="shared" si="22"/>
        <v>15.319763940744309</v>
      </c>
      <c r="I126" s="19">
        <f t="shared" si="22"/>
        <v>22.424499012136607</v>
      </c>
      <c r="J126" s="9">
        <f t="shared" si="22"/>
        <v>37.261222540592165</v>
      </c>
      <c r="K126" s="9">
        <f t="shared" si="13"/>
        <v>46.24235006119951</v>
      </c>
      <c r="M126">
        <v>96</v>
      </c>
    </row>
    <row r="127" spans="1:23" ht="13.5" customHeight="1" x14ac:dyDescent="0.15">
      <c r="A127">
        <v>97</v>
      </c>
      <c r="B127" s="19">
        <f t="shared" ref="B127:J127" si="23">+B27*100/B77</f>
        <v>12.655549038568235</v>
      </c>
      <c r="C127" s="19">
        <f t="shared" si="23"/>
        <v>0.10327377878756584</v>
      </c>
      <c r="D127" s="19">
        <f t="shared" si="23"/>
        <v>1.5490318550905684</v>
      </c>
      <c r="E127" s="19">
        <f t="shared" si="23"/>
        <v>6.1261922230374175</v>
      </c>
      <c r="F127" s="19">
        <f t="shared" si="23"/>
        <v>6.699427718337895</v>
      </c>
      <c r="G127" s="19">
        <f t="shared" si="23"/>
        <v>9.9963171463145155</v>
      </c>
      <c r="H127" s="19">
        <f t="shared" si="23"/>
        <v>15.623362254702149</v>
      </c>
      <c r="I127" s="19">
        <f t="shared" si="23"/>
        <v>22.663243355769897</v>
      </c>
      <c r="J127" s="9">
        <f t="shared" si="23"/>
        <v>39.227966294693694</v>
      </c>
      <c r="K127" s="9">
        <f t="shared" si="13"/>
        <v>53.541275797373359</v>
      </c>
      <c r="M127">
        <v>97</v>
      </c>
    </row>
    <row r="128" spans="1:23" ht="13.5" customHeight="1" x14ac:dyDescent="0.15">
      <c r="A128" s="10">
        <v>98</v>
      </c>
      <c r="B128" s="20">
        <f t="shared" ref="B128:J128" si="24">+B28*100/B78</f>
        <v>12.88205809338583</v>
      </c>
      <c r="C128" s="20">
        <f t="shared" si="24"/>
        <v>0.12067789495776274</v>
      </c>
      <c r="D128" s="20">
        <f t="shared" si="24"/>
        <v>1.8060714743179198</v>
      </c>
      <c r="E128" s="20">
        <f t="shared" si="24"/>
        <v>6.34970778707945</v>
      </c>
      <c r="F128" s="20">
        <f t="shared" si="24"/>
        <v>6.5104326011136262</v>
      </c>
      <c r="G128" s="20">
        <f t="shared" si="24"/>
        <v>10.26036219518908</v>
      </c>
      <c r="H128" s="20">
        <f t="shared" si="24"/>
        <v>15.078212290502794</v>
      </c>
      <c r="I128" s="20">
        <f t="shared" si="24"/>
        <v>21.993410214168041</v>
      </c>
      <c r="J128" s="9">
        <f t="shared" si="24"/>
        <v>34.843054197892904</v>
      </c>
      <c r="K128" s="9">
        <f t="shared" si="13"/>
        <v>50</v>
      </c>
      <c r="M128" s="10">
        <v>98</v>
      </c>
      <c r="N128" s="20">
        <f t="shared" ref="N128:W128" si="25">+N28*100/N78</f>
        <v>10.598010847050267</v>
      </c>
      <c r="O128" s="20">
        <f t="shared" si="25"/>
        <v>4.7221784983472376E-2</v>
      </c>
      <c r="P128" s="20">
        <f t="shared" si="25"/>
        <v>1.549891123350839</v>
      </c>
      <c r="Q128" s="20">
        <f t="shared" si="25"/>
        <v>5.3756647185805297</v>
      </c>
      <c r="R128" s="20">
        <f t="shared" si="25"/>
        <v>5.4885883864651532</v>
      </c>
      <c r="S128" s="20">
        <f t="shared" si="25"/>
        <v>8.5980073760114486</v>
      </c>
      <c r="T128" s="20">
        <f t="shared" si="25"/>
        <v>12.58659217877095</v>
      </c>
      <c r="U128" s="20">
        <f t="shared" si="25"/>
        <v>17.922844590884129</v>
      </c>
      <c r="V128" s="9">
        <f t="shared" si="25"/>
        <v>31.400021722602368</v>
      </c>
      <c r="W128" s="9">
        <f t="shared" si="25"/>
        <v>45.904590459045906</v>
      </c>
    </row>
    <row r="129" spans="1:24" ht="13.5" customHeight="1" x14ac:dyDescent="0.15">
      <c r="A129">
        <v>99</v>
      </c>
      <c r="B129" s="19">
        <f t="shared" ref="B129:I129" si="26">+B29*100/B79</f>
        <v>13.610027943103422</v>
      </c>
      <c r="C129" s="19">
        <f t="shared" si="26"/>
        <v>0.12805463664496852</v>
      </c>
      <c r="D129" s="19">
        <f t="shared" si="26"/>
        <v>1.5153494448073155</v>
      </c>
      <c r="E129" s="19">
        <f t="shared" si="26"/>
        <v>6.0314080383284532</v>
      </c>
      <c r="F129" s="19">
        <f t="shared" si="26"/>
        <v>6.7614800530312165</v>
      </c>
      <c r="G129" s="19">
        <f t="shared" si="26"/>
        <v>9.6188224439190364</v>
      </c>
      <c r="H129" s="19">
        <f t="shared" si="26"/>
        <v>14.520343411720791</v>
      </c>
      <c r="I129" s="19">
        <f t="shared" si="26"/>
        <v>22.200123448323161</v>
      </c>
      <c r="J129">
        <v>50.71</v>
      </c>
      <c r="M129">
        <v>99</v>
      </c>
      <c r="N129" s="19">
        <f t="shared" ref="N129:W129" si="27">+N29*100/N79</f>
        <v>11.431413100105773</v>
      </c>
      <c r="O129" s="19">
        <f t="shared" si="27"/>
        <v>6.9362928182691283E-2</v>
      </c>
      <c r="P129" s="19">
        <f t="shared" si="27"/>
        <v>1.3977792292619202</v>
      </c>
      <c r="Q129" s="19">
        <f t="shared" si="27"/>
        <v>5.4671280276816612</v>
      </c>
      <c r="R129" s="19">
        <f t="shared" si="27"/>
        <v>5.9961431842834756</v>
      </c>
      <c r="S129" s="19">
        <f t="shared" si="27"/>
        <v>8.4597197393460579</v>
      </c>
      <c r="T129" s="19">
        <f t="shared" si="27"/>
        <v>12.541993281075028</v>
      </c>
      <c r="U129" s="19">
        <f t="shared" si="27"/>
        <v>18.208627666140867</v>
      </c>
      <c r="V129" s="9">
        <f t="shared" si="27"/>
        <v>35.227155127807102</v>
      </c>
      <c r="W129" s="9">
        <f t="shared" si="27"/>
        <v>53.84951881014873</v>
      </c>
    </row>
    <row r="130" spans="1:24" ht="13.5" customHeight="1" x14ac:dyDescent="0.15">
      <c r="A130">
        <v>2000</v>
      </c>
      <c r="B130" s="19"/>
      <c r="C130" s="19"/>
      <c r="D130" s="19"/>
      <c r="E130" s="19"/>
      <c r="F130" s="19"/>
      <c r="G130" s="19"/>
      <c r="H130" s="19"/>
      <c r="I130" s="19"/>
      <c r="M130">
        <v>2000</v>
      </c>
      <c r="N130" s="19">
        <f t="shared" ref="N130:W130" si="28">+N30*100/N80</f>
        <v>10.415304249166791</v>
      </c>
      <c r="O130" s="19">
        <f t="shared" si="28"/>
        <v>3.7944492627927144E-2</v>
      </c>
      <c r="P130" s="19">
        <f t="shared" si="28"/>
        <v>1.2760866675528379</v>
      </c>
      <c r="Q130" s="19">
        <f t="shared" si="28"/>
        <v>5.2891911640717213</v>
      </c>
      <c r="R130" s="19">
        <f t="shared" si="28"/>
        <v>5.6241015812170581</v>
      </c>
      <c r="S130" s="19">
        <f t="shared" si="28"/>
        <v>7.9937958599296071</v>
      </c>
      <c r="T130" s="19">
        <f t="shared" si="28"/>
        <v>11.329234902102598</v>
      </c>
      <c r="U130" s="19">
        <f t="shared" si="28"/>
        <v>15.145283269205255</v>
      </c>
      <c r="V130" s="9">
        <f t="shared" si="28"/>
        <v>29.8283685144999</v>
      </c>
      <c r="W130" s="9">
        <f t="shared" si="28"/>
        <v>48.660170523751525</v>
      </c>
    </row>
    <row r="131" spans="1:24" ht="13.5" customHeight="1" x14ac:dyDescent="0.15">
      <c r="A131">
        <v>2001</v>
      </c>
      <c r="M131">
        <v>2001</v>
      </c>
      <c r="N131" s="19">
        <f t="shared" ref="N131:W131" si="29">+N31*100/N81</f>
        <v>9.942572530658099</v>
      </c>
      <c r="O131" s="19">
        <f t="shared" si="29"/>
        <v>4.375649510474211E-2</v>
      </c>
      <c r="P131" s="19">
        <f t="shared" si="29"/>
        <v>1.3061224489795917</v>
      </c>
      <c r="Q131" s="19">
        <f t="shared" si="29"/>
        <v>4.7587131367292228</v>
      </c>
      <c r="R131" s="19">
        <f t="shared" si="29"/>
        <v>5.3924678470500025</v>
      </c>
      <c r="S131" s="19">
        <f t="shared" si="29"/>
        <v>6.9336117423079289</v>
      </c>
      <c r="T131" s="19">
        <f t="shared" si="29"/>
        <v>10.633238562936159</v>
      </c>
      <c r="U131" s="19">
        <f t="shared" si="29"/>
        <v>14.458703520895032</v>
      </c>
      <c r="V131" s="9">
        <f t="shared" si="29"/>
        <v>27.816968541468064</v>
      </c>
      <c r="W131" s="9">
        <f t="shared" si="29"/>
        <v>48.304254067829838</v>
      </c>
    </row>
    <row r="132" spans="1:24" ht="13.5" customHeight="1" x14ac:dyDescent="0.15">
      <c r="A132">
        <v>2002</v>
      </c>
      <c r="M132">
        <v>2002</v>
      </c>
      <c r="N132" s="19">
        <f t="shared" ref="N132:W132" si="30">+N32*100/N82</f>
        <v>9.3639894848354057</v>
      </c>
      <c r="O132" s="19">
        <f t="shared" si="30"/>
        <v>2.7621257319633191E-2</v>
      </c>
      <c r="P132" s="19">
        <f t="shared" si="30"/>
        <v>1.1537392271337226</v>
      </c>
      <c r="Q132" s="19">
        <f t="shared" si="30"/>
        <v>4.6150318179212295</v>
      </c>
      <c r="R132" s="19">
        <f t="shared" si="30"/>
        <v>5.0918102962712632</v>
      </c>
      <c r="S132" s="19">
        <f t="shared" si="30"/>
        <v>6.4020566842237274</v>
      </c>
      <c r="T132" s="19">
        <f t="shared" si="30"/>
        <v>9.5250454191539067</v>
      </c>
      <c r="U132" s="19">
        <f t="shared" si="30"/>
        <v>13.02016024812613</v>
      </c>
      <c r="V132" s="9">
        <f t="shared" si="30"/>
        <v>25.404263138552004</v>
      </c>
      <c r="W132" s="9">
        <f t="shared" si="30"/>
        <v>46.554934823091244</v>
      </c>
    </row>
    <row r="133" spans="1:24" ht="13.5" customHeight="1" x14ac:dyDescent="0.15">
      <c r="A133">
        <v>2003</v>
      </c>
      <c r="M133" s="27">
        <v>2003</v>
      </c>
      <c r="N133" s="19">
        <f t="shared" ref="N133:W133" si="31">+N33*100/N83</f>
        <v>9.2909363025881735</v>
      </c>
      <c r="O133" s="19">
        <f t="shared" si="31"/>
        <v>1.6755096341803964E-2</v>
      </c>
      <c r="P133" s="19">
        <f t="shared" si="31"/>
        <v>0.94326139774188933</v>
      </c>
      <c r="Q133" s="19">
        <f t="shared" si="31"/>
        <v>4.868847627468317</v>
      </c>
      <c r="R133" s="19">
        <f t="shared" si="31"/>
        <v>4.9424844515383342</v>
      </c>
      <c r="S133" s="19">
        <f t="shared" si="31"/>
        <v>5.8842158601469468</v>
      </c>
      <c r="T133" s="19">
        <f t="shared" si="31"/>
        <v>9.5814001980920604</v>
      </c>
      <c r="U133" s="19">
        <f t="shared" si="31"/>
        <v>12.32414539435992</v>
      </c>
      <c r="V133" s="19">
        <f t="shared" si="31"/>
        <v>24.147121535181238</v>
      </c>
      <c r="W133" s="40">
        <f t="shared" si="31"/>
        <v>46.716101694915253</v>
      </c>
      <c r="X133" s="40">
        <f>+X33*100/X83</f>
        <v>47.046186895810955</v>
      </c>
    </row>
    <row r="134" spans="1:24" ht="13.5" customHeight="1" x14ac:dyDescent="0.15">
      <c r="A134">
        <v>2004</v>
      </c>
      <c r="M134" s="27">
        <v>2004</v>
      </c>
      <c r="N134" s="19">
        <f t="shared" ref="N134:X134" si="32">+N34*100000/N84</f>
        <v>8.9633518967000825</v>
      </c>
      <c r="O134" s="19">
        <f t="shared" si="32"/>
        <v>4.5112095945759018E-2</v>
      </c>
      <c r="P134" s="19">
        <f t="shared" si="32"/>
        <v>1.1536352229089475</v>
      </c>
      <c r="Q134" s="19">
        <f t="shared" si="32"/>
        <v>4.3688710655130416</v>
      </c>
      <c r="R134" s="19">
        <f t="shared" si="32"/>
        <v>4.7942820124382939</v>
      </c>
      <c r="S134" s="19">
        <f t="shared" si="32"/>
        <v>5.6208494689566066</v>
      </c>
      <c r="T134" s="19">
        <f t="shared" si="32"/>
        <v>9.0126616015895653</v>
      </c>
      <c r="U134" s="19">
        <f t="shared" si="32"/>
        <v>11.509369758540174</v>
      </c>
      <c r="V134" s="19">
        <f t="shared" si="32"/>
        <v>23.227727022494228</v>
      </c>
      <c r="W134" s="40">
        <f t="shared" si="32"/>
        <v>43.367673477760341</v>
      </c>
      <c r="X134" s="40">
        <f t="shared" si="32"/>
        <v>47.736173488018217</v>
      </c>
    </row>
    <row r="135" spans="1:24" ht="13.5" customHeight="1" x14ac:dyDescent="0.15">
      <c r="A135">
        <v>2005</v>
      </c>
      <c r="M135" s="27">
        <v>2005</v>
      </c>
      <c r="N135" s="19">
        <f t="shared" ref="N135:X135" si="33">+N35*100000/N85</f>
        <v>8.8704412413601759</v>
      </c>
      <c r="O135" s="19">
        <f t="shared" si="33"/>
        <v>3.4483353161261401E-2</v>
      </c>
      <c r="P135" s="19">
        <f t="shared" si="33"/>
        <v>1.1031946678924385</v>
      </c>
      <c r="Q135" s="19">
        <f t="shared" si="33"/>
        <v>4.6214316376904918</v>
      </c>
      <c r="R135" s="19">
        <f t="shared" si="33"/>
        <v>4.8805791992503433</v>
      </c>
      <c r="S135" s="19">
        <f t="shared" si="33"/>
        <v>5.5408670571417726</v>
      </c>
      <c r="T135" s="19">
        <f t="shared" si="33"/>
        <v>8.0469120039539526</v>
      </c>
      <c r="U135" s="19">
        <f t="shared" si="33"/>
        <v>10.861466328242841</v>
      </c>
      <c r="V135" s="19">
        <f t="shared" si="33"/>
        <v>20.908192056333952</v>
      </c>
      <c r="W135" s="40">
        <f t="shared" si="33"/>
        <v>42.475025336615026</v>
      </c>
      <c r="X135" s="40">
        <f t="shared" si="33"/>
        <v>44.202833972016755</v>
      </c>
    </row>
    <row r="136" spans="1:24" ht="13.5" customHeight="1" x14ac:dyDescent="0.15">
      <c r="A136">
        <v>2006</v>
      </c>
      <c r="M136" s="27">
        <v>2006</v>
      </c>
      <c r="N136" s="19">
        <f t="shared" ref="N136:X136" si="34">+N36*100000/N86</f>
        <v>8.211661765001681</v>
      </c>
      <c r="O136" s="19">
        <f t="shared" si="34"/>
        <v>3.4414019583297845E-2</v>
      </c>
      <c r="P136" s="19">
        <f t="shared" si="34"/>
        <v>0.8250312616798352</v>
      </c>
      <c r="Q136" s="19">
        <f t="shared" si="34"/>
        <v>3.9669684629269506</v>
      </c>
      <c r="R136" s="19">
        <f t="shared" si="34"/>
        <v>4.128704567399252</v>
      </c>
      <c r="S136" s="19">
        <f t="shared" si="34"/>
        <v>5.0074406741074045</v>
      </c>
      <c r="T136" s="19">
        <f t="shared" si="34"/>
        <v>7.4359510513842402</v>
      </c>
      <c r="U136" s="19">
        <f t="shared" si="34"/>
        <v>9.9573906131488421</v>
      </c>
      <c r="V136" s="19">
        <f t="shared" si="34"/>
        <v>20.103575123944101</v>
      </c>
      <c r="W136" s="40">
        <f t="shared" si="34"/>
        <v>41.011673679972475</v>
      </c>
      <c r="X136" s="40">
        <f t="shared" si="34"/>
        <v>43.652955538945108</v>
      </c>
    </row>
    <row r="137" spans="1:24" ht="13.5" customHeight="1" x14ac:dyDescent="0.15">
      <c r="A137">
        <v>2007</v>
      </c>
      <c r="M137" s="27">
        <v>2007</v>
      </c>
      <c r="N137" s="19">
        <f t="shared" ref="N137:X137" si="35">+N37*100000/N87</f>
        <v>7.9861756200716734</v>
      </c>
      <c r="O137" s="19">
        <f t="shared" si="35"/>
        <v>2.3131360509713407E-2</v>
      </c>
      <c r="P137" s="19">
        <f t="shared" si="35"/>
        <v>0.82780969355599499</v>
      </c>
      <c r="Q137" s="19">
        <f t="shared" si="35"/>
        <v>3.858177903643071</v>
      </c>
      <c r="R137" s="19">
        <f t="shared" si="35"/>
        <v>4.0872985229258862</v>
      </c>
      <c r="S137" s="19">
        <f t="shared" si="35"/>
        <v>4.8078821686494742</v>
      </c>
      <c r="T137" s="19">
        <f t="shared" si="35"/>
        <v>6.8707138850256904</v>
      </c>
      <c r="U137" s="19">
        <f t="shared" si="35"/>
        <v>9.2208453148633591</v>
      </c>
      <c r="V137" s="19">
        <f t="shared" si="35"/>
        <v>18.410976561761739</v>
      </c>
      <c r="W137" s="40">
        <f t="shared" si="35"/>
        <v>41.665166551643765</v>
      </c>
      <c r="X137" s="40">
        <f t="shared" si="35"/>
        <v>40.498184944983826</v>
      </c>
    </row>
    <row r="138" spans="1:24" ht="13.5" customHeight="1" x14ac:dyDescent="0.15">
      <c r="A138">
        <v>2008</v>
      </c>
      <c r="M138" s="27">
        <v>2008</v>
      </c>
      <c r="N138" s="19">
        <f t="shared" ref="N138:X138" si="36">+N38*100000/N88</f>
        <v>7.6817490749812247</v>
      </c>
      <c r="O138" s="19">
        <f t="shared" si="36"/>
        <v>1.7465991967040975E-2</v>
      </c>
      <c r="P138" s="19">
        <f t="shared" si="36"/>
        <v>0.89355109552613587</v>
      </c>
      <c r="Q138" s="19">
        <f t="shared" si="36"/>
        <v>3.2914372953370719</v>
      </c>
      <c r="R138" s="19">
        <f t="shared" si="36"/>
        <v>3.8324271497524403</v>
      </c>
      <c r="S138" s="19">
        <f t="shared" si="36"/>
        <v>4.4602134749597315</v>
      </c>
      <c r="T138" s="19">
        <f t="shared" si="36"/>
        <v>6.8858609095735268</v>
      </c>
      <c r="U138" s="19">
        <f t="shared" si="36"/>
        <v>8.4124436395690285</v>
      </c>
      <c r="V138" s="19">
        <f t="shared" si="36"/>
        <v>17.618558446546984</v>
      </c>
      <c r="W138" s="40">
        <f t="shared" si="36"/>
        <v>38.827343627285742</v>
      </c>
      <c r="X138" s="40">
        <f t="shared" si="36"/>
        <v>41.714024583152693</v>
      </c>
    </row>
    <row r="139" spans="1:24" ht="13.5" customHeight="1" x14ac:dyDescent="0.15">
      <c r="A139">
        <v>2009</v>
      </c>
      <c r="M139" s="27">
        <v>2009</v>
      </c>
      <c r="N139" s="19">
        <f t="shared" ref="N139:X139" si="37">+N39*100000/N89</f>
        <v>7.5876659513713198</v>
      </c>
      <c r="O139" s="19">
        <f t="shared" si="37"/>
        <v>2.3514203607725475E-2</v>
      </c>
      <c r="P139" s="19">
        <f t="shared" si="37"/>
        <v>0.78966057920616406</v>
      </c>
      <c r="Q139" s="19">
        <f t="shared" si="37"/>
        <v>3.6488610801586101</v>
      </c>
      <c r="R139" s="19">
        <f t="shared" si="37"/>
        <v>3.7310022744910936</v>
      </c>
      <c r="S139" s="19">
        <f t="shared" si="37"/>
        <v>4.3882809494484665</v>
      </c>
      <c r="T139" s="19">
        <f t="shared" si="37"/>
        <v>6.0630043947002825</v>
      </c>
      <c r="U139" s="19">
        <f t="shared" si="37"/>
        <v>8.2031421630382368</v>
      </c>
      <c r="V139" s="19">
        <f t="shared" si="37"/>
        <v>15.821661812096663</v>
      </c>
      <c r="W139" s="40">
        <f t="shared" si="37"/>
        <v>39.132643979579761</v>
      </c>
      <c r="X139" s="40">
        <f t="shared" si="37"/>
        <v>47.225359717369756</v>
      </c>
    </row>
    <row r="140" spans="1:24" ht="13.5" customHeight="1" x14ac:dyDescent="0.15">
      <c r="A140">
        <v>2010</v>
      </c>
      <c r="M140" s="51">
        <v>2010</v>
      </c>
      <c r="N140" s="19">
        <f t="shared" ref="N140:X140" si="38">+N40*100000/N90</f>
        <v>7.0430124320609737</v>
      </c>
      <c r="O140" s="19">
        <f t="shared" si="38"/>
        <v>4.167261989808068E-2</v>
      </c>
      <c r="P140" s="19">
        <f t="shared" si="38"/>
        <v>0.99760574620909814</v>
      </c>
      <c r="Q140" s="19">
        <f t="shared" si="38"/>
        <v>2.7665369926533865</v>
      </c>
      <c r="R140" s="19">
        <f t="shared" si="38"/>
        <v>3.3334079062171411</v>
      </c>
      <c r="S140" s="19">
        <f t="shared" si="38"/>
        <v>3.7032361233850946</v>
      </c>
      <c r="T140" s="19">
        <f t="shared" si="38"/>
        <v>5.3017164229769849</v>
      </c>
      <c r="U140" s="19">
        <f t="shared" si="38"/>
        <v>7.6672554647825129</v>
      </c>
      <c r="V140" s="19">
        <f t="shared" si="38"/>
        <v>15.464197358522759</v>
      </c>
      <c r="W140" s="56">
        <f t="shared" si="38"/>
        <v>37.020176804017737</v>
      </c>
      <c r="X140" s="56">
        <f t="shared" si="38"/>
        <v>43.073767489561206</v>
      </c>
    </row>
    <row r="141" spans="1:24" ht="13.5" customHeight="1" x14ac:dyDescent="0.15">
      <c r="M141" s="51">
        <v>2011</v>
      </c>
      <c r="N141" s="19">
        <f t="shared" ref="N141:X141" si="39">+N41*100000/N91</f>
        <v>6.7715866664813751</v>
      </c>
      <c r="O141" s="19">
        <f t="shared" si="39"/>
        <v>2.9930869867102746E-2</v>
      </c>
      <c r="P141" s="19">
        <f t="shared" si="39"/>
        <v>0.74069294623293447</v>
      </c>
      <c r="Q141" s="19">
        <f t="shared" si="39"/>
        <v>2.6491594511412577</v>
      </c>
      <c r="R141" s="19">
        <f t="shared" si="39"/>
        <v>2.9205986395963865</v>
      </c>
      <c r="S141" s="19">
        <f t="shared" si="39"/>
        <v>3.616724428166934</v>
      </c>
      <c r="T141" s="19">
        <f t="shared" si="39"/>
        <v>5.1317455040207447</v>
      </c>
      <c r="U141" s="19">
        <f t="shared" si="39"/>
        <v>6.7108029489247327</v>
      </c>
      <c r="V141" s="19">
        <f t="shared" si="39"/>
        <v>13.634206325236226</v>
      </c>
      <c r="W141" s="56">
        <f t="shared" si="39"/>
        <v>36.016122412113781</v>
      </c>
      <c r="X141" s="56">
        <f t="shared" si="39"/>
        <v>45.515102298305152</v>
      </c>
    </row>
    <row r="142" spans="1:24" ht="13.5" customHeight="1" x14ac:dyDescent="0.15">
      <c r="M142" s="51">
        <v>2012</v>
      </c>
      <c r="N142" s="19">
        <f t="shared" ref="N142:X142" si="40">+N42*100000/N92</f>
        <v>6.4596254626499903</v>
      </c>
      <c r="O142" s="19">
        <f t="shared" si="40"/>
        <v>3.0216928538656155E-2</v>
      </c>
      <c r="P142" s="19">
        <f t="shared" si="40"/>
        <v>0.66120489384190129</v>
      </c>
      <c r="Q142" s="19">
        <f t="shared" si="40"/>
        <v>2.5299675405915276</v>
      </c>
      <c r="R142" s="19">
        <f t="shared" si="40"/>
        <v>2.5965840893034819</v>
      </c>
      <c r="S142" s="19">
        <f t="shared" si="40"/>
        <v>3.1402377561705532</v>
      </c>
      <c r="T142" s="19">
        <f t="shared" si="40"/>
        <v>4.350139949759722</v>
      </c>
      <c r="U142" s="19">
        <f t="shared" si="40"/>
        <v>6.2926259691849946</v>
      </c>
      <c r="V142" s="19">
        <f t="shared" si="40"/>
        <v>13.194344117285924</v>
      </c>
      <c r="W142" s="56">
        <f t="shared" si="40"/>
        <v>34.162636276132325</v>
      </c>
      <c r="X142" s="56">
        <f t="shared" si="40"/>
        <v>44.379685886081667</v>
      </c>
    </row>
    <row r="143" spans="1:24" ht="13.5" customHeight="1" x14ac:dyDescent="0.15">
      <c r="A143" t="s">
        <v>14</v>
      </c>
      <c r="M143" s="51">
        <v>2013</v>
      </c>
      <c r="N143" s="19">
        <f t="shared" ref="N143:X143" si="41">+N43*100000/N93</f>
        <v>6.3779635397300156</v>
      </c>
      <c r="O143" s="19">
        <f t="shared" si="41"/>
        <v>0</v>
      </c>
      <c r="P143" s="19">
        <f t="shared" si="41"/>
        <v>0.81029839651869351</v>
      </c>
      <c r="Q143" s="19">
        <f t="shared" si="41"/>
        <v>2.7305767459954029</v>
      </c>
      <c r="R143" s="19">
        <f t="shared" si="41"/>
        <v>2.469546061469639</v>
      </c>
      <c r="S143" s="19">
        <f t="shared" si="41"/>
        <v>2.8937757981080683</v>
      </c>
      <c r="T143" s="19">
        <f t="shared" si="41"/>
        <v>4.2870031578336834</v>
      </c>
      <c r="U143" s="19">
        <f t="shared" si="41"/>
        <v>6.092931747239926</v>
      </c>
      <c r="V143" s="19">
        <f t="shared" si="41"/>
        <v>12.102618403650242</v>
      </c>
      <c r="W143" s="56">
        <f t="shared" si="41"/>
        <v>33.950724880496047</v>
      </c>
      <c r="X143" s="56">
        <f t="shared" si="41"/>
        <v>43.636345604815865</v>
      </c>
    </row>
    <row r="144" spans="1:24" ht="13.5" customHeight="1" x14ac:dyDescent="0.15">
      <c r="M144" s="51">
        <v>2014</v>
      </c>
      <c r="N144" s="19">
        <f t="shared" ref="N144:X144" si="42">+N44*100000/N94</f>
        <v>6.0204833825727455</v>
      </c>
      <c r="O144" s="19">
        <f t="shared" si="42"/>
        <v>6.1601947557892436E-3</v>
      </c>
      <c r="P144" s="19">
        <f t="shared" si="42"/>
        <v>0.59946078502387101</v>
      </c>
      <c r="Q144" s="19">
        <f t="shared" si="42"/>
        <v>2.5542161491053568</v>
      </c>
      <c r="R144" s="19">
        <f t="shared" si="42"/>
        <v>2.113179017557667</v>
      </c>
      <c r="S144" s="19">
        <f t="shared" si="42"/>
        <v>2.6084766251964169</v>
      </c>
      <c r="T144" s="19">
        <f t="shared" si="42"/>
        <v>3.8652324862884599</v>
      </c>
      <c r="U144" s="19">
        <f t="shared" si="42"/>
        <v>5.5695901261423932</v>
      </c>
      <c r="V144" s="19">
        <f t="shared" si="42"/>
        <v>11.11468139533344</v>
      </c>
      <c r="W144" s="56">
        <f t="shared" si="42"/>
        <v>32.238160450471874</v>
      </c>
      <c r="X144" s="56">
        <f t="shared" si="42"/>
        <v>42.06160102066378</v>
      </c>
    </row>
    <row r="145" spans="1:24" x14ac:dyDescent="0.15">
      <c r="M145" s="51">
        <v>2015</v>
      </c>
      <c r="N145" s="19">
        <f t="shared" ref="N145:X145" si="43">+N45*100000/N95</f>
        <v>5.610101486901109</v>
      </c>
      <c r="O145" s="19">
        <f t="shared" si="43"/>
        <v>1.2606842994377348E-2</v>
      </c>
      <c r="P145" s="19">
        <f t="shared" si="43"/>
        <v>0.69579974543911749</v>
      </c>
      <c r="Q145" s="19">
        <f t="shared" si="43"/>
        <v>2.3199091104101948</v>
      </c>
      <c r="R145" s="19">
        <f t="shared" si="43"/>
        <v>2.2528354653270495</v>
      </c>
      <c r="S145" s="19">
        <f t="shared" si="43"/>
        <v>2.484376881067297</v>
      </c>
      <c r="T145" s="19">
        <f t="shared" si="43"/>
        <v>3.4879551455487823</v>
      </c>
      <c r="U145" s="19">
        <f t="shared" si="43"/>
        <v>5.2052598176210569</v>
      </c>
      <c r="V145" s="19">
        <f t="shared" si="43"/>
        <v>10.098257189987807</v>
      </c>
      <c r="W145" s="56">
        <f t="shared" si="43"/>
        <v>29.132118564122933</v>
      </c>
      <c r="X145" s="56">
        <f t="shared" si="43"/>
        <v>41.820752664781381</v>
      </c>
    </row>
    <row r="146" spans="1:24" x14ac:dyDescent="0.15">
      <c r="M146" s="51">
        <v>2016</v>
      </c>
      <c r="N146" s="19">
        <f t="shared" ref="N146:X146" si="44">+N46*100000/N96</f>
        <v>5.2326912075945211</v>
      </c>
      <c r="O146" s="19">
        <f t="shared" si="44"/>
        <v>1.9010964700630854E-2</v>
      </c>
      <c r="P146" s="19">
        <f t="shared" si="44"/>
        <v>0.77817726050146074</v>
      </c>
      <c r="Q146" s="19">
        <f t="shared" si="44"/>
        <v>2.2482233056568011</v>
      </c>
      <c r="R146" s="19">
        <f t="shared" si="44"/>
        <v>1.8341942989338649</v>
      </c>
      <c r="S146" s="19">
        <f t="shared" si="44"/>
        <v>2.0322117139210292</v>
      </c>
      <c r="T146" s="19">
        <f t="shared" si="44"/>
        <v>2.932072615464437</v>
      </c>
      <c r="U146" s="19">
        <f t="shared" si="44"/>
        <v>4.6216659250484042</v>
      </c>
      <c r="V146" s="19">
        <f t="shared" si="44"/>
        <v>8.9856667849205287</v>
      </c>
      <c r="W146" s="56">
        <f t="shared" si="44"/>
        <v>26.196400862884609</v>
      </c>
      <c r="X146" s="56">
        <f t="shared" si="44"/>
        <v>45.140027478343164</v>
      </c>
    </row>
    <row r="147" spans="1:24" x14ac:dyDescent="0.15">
      <c r="M147" s="51">
        <v>2017</v>
      </c>
      <c r="N147" s="19">
        <f t="shared" ref="N147:X147" si="45">+N47*100000/N97</f>
        <v>5.0186964001211933</v>
      </c>
      <c r="O147" s="19">
        <f t="shared" si="45"/>
        <v>2.5653980901380838E-2</v>
      </c>
      <c r="P147" s="19">
        <f t="shared" si="45"/>
        <v>0.66719530774883962</v>
      </c>
      <c r="Q147" s="19">
        <f t="shared" si="45"/>
        <v>2.3085473366033762</v>
      </c>
      <c r="R147" s="19">
        <f t="shared" si="45"/>
        <v>2.033865663773065</v>
      </c>
      <c r="S147" s="19">
        <f t="shared" si="45"/>
        <v>1.9630109476750173</v>
      </c>
      <c r="T147" s="19">
        <f t="shared" si="45"/>
        <v>2.85110410435168</v>
      </c>
      <c r="U147" s="19">
        <f t="shared" si="45"/>
        <v>4.5358527851743959</v>
      </c>
      <c r="V147" s="19">
        <f t="shared" si="45"/>
        <v>8.545450441529896</v>
      </c>
      <c r="W147" s="56">
        <f t="shared" si="45"/>
        <v>22.960109370682392</v>
      </c>
      <c r="X147" s="56">
        <f t="shared" si="45"/>
        <v>42.052328866733539</v>
      </c>
    </row>
    <row r="148" spans="1:24" x14ac:dyDescent="0.15">
      <c r="M148" s="51">
        <v>2018</v>
      </c>
      <c r="N148" s="19">
        <f t="shared" ref="N148:X148" si="46">+N48*100000/N98</f>
        <v>4.5720140856944598</v>
      </c>
      <c r="O148" s="19">
        <f t="shared" si="46"/>
        <v>2.5949488542068209E-2</v>
      </c>
      <c r="P148" s="19">
        <f t="shared" si="46"/>
        <v>0.67720751449774308</v>
      </c>
      <c r="Q148" s="19">
        <f t="shared" si="46"/>
        <v>2.3580381377616866</v>
      </c>
      <c r="R148" s="19">
        <f t="shared" si="46"/>
        <v>1.7703338391657859</v>
      </c>
      <c r="S148" s="19">
        <f t="shared" si="46"/>
        <v>1.7111479851952116</v>
      </c>
      <c r="T148" s="19">
        <f t="shared" si="46"/>
        <v>2.6044849730897992</v>
      </c>
      <c r="U148" s="19">
        <f t="shared" si="46"/>
        <v>4.0862716309265315</v>
      </c>
      <c r="V148" s="19">
        <f t="shared" si="46"/>
        <v>7.2594802647303656</v>
      </c>
      <c r="W148" s="56">
        <f t="shared" si="46"/>
        <v>20.957075913480793</v>
      </c>
      <c r="X148" s="56">
        <f t="shared" si="46"/>
        <v>36.335411126241958</v>
      </c>
    </row>
    <row r="149" spans="1:24" x14ac:dyDescent="0.15">
      <c r="M149" s="51">
        <v>2019</v>
      </c>
      <c r="N149" s="19">
        <f>SUM(N49/N99)*100000</f>
        <v>4.1460937931224269</v>
      </c>
      <c r="O149" s="19">
        <f t="shared" ref="O149:W149" si="47">SUM(O49/O99)*100000</f>
        <v>0</v>
      </c>
      <c r="P149" s="19">
        <f t="shared" si="47"/>
        <v>0.65289549703130134</v>
      </c>
      <c r="Q149" s="19">
        <f t="shared" si="47"/>
        <v>2.3440041482538274</v>
      </c>
      <c r="R149" s="19">
        <f t="shared" si="47"/>
        <v>1.3913124215114521</v>
      </c>
      <c r="S149" s="19">
        <f t="shared" si="47"/>
        <v>1.663088955550438</v>
      </c>
      <c r="T149" s="19">
        <f t="shared" si="47"/>
        <v>2.2361671407156707</v>
      </c>
      <c r="U149" s="19">
        <f t="shared" si="47"/>
        <v>3.2344351893734085</v>
      </c>
      <c r="V149" s="19">
        <f t="shared" si="47"/>
        <v>6.4984291381776993</v>
      </c>
      <c r="W149" s="56">
        <f t="shared" si="47"/>
        <v>17.841255111603484</v>
      </c>
      <c r="X149" s="56">
        <f>SUM(X49/X99)*100000</f>
        <v>37.71684479323504</v>
      </c>
    </row>
    <row r="150" spans="1:24" x14ac:dyDescent="0.15">
      <c r="M150" s="51">
        <v>2020</v>
      </c>
      <c r="N150" s="19">
        <f>SUM(N50/N100)*100000</f>
        <v>3.6584563744614886</v>
      </c>
      <c r="O150" s="19">
        <f t="shared" ref="O150:W150" si="48">SUM(O50/O100)*100000</f>
        <v>1.9957952585492884E-2</v>
      </c>
      <c r="P150" s="19">
        <f t="shared" si="48"/>
        <v>0.35048944097985635</v>
      </c>
      <c r="Q150" s="19">
        <f t="shared" si="48"/>
        <v>2.0072244336675298</v>
      </c>
      <c r="R150" s="19">
        <f t="shared" si="48"/>
        <v>1.365029410051176</v>
      </c>
      <c r="S150" s="19">
        <f t="shared" si="48"/>
        <v>1.2319635896976882</v>
      </c>
      <c r="T150" s="19">
        <f t="shared" si="48"/>
        <v>1.8407250034191318</v>
      </c>
      <c r="U150" s="19">
        <f t="shared" si="48"/>
        <v>3.1188877931324006</v>
      </c>
      <c r="V150" s="19">
        <f t="shared" si="48"/>
        <v>5.6911957202208185</v>
      </c>
      <c r="W150" s="56">
        <f t="shared" si="48"/>
        <v>15.897929606285697</v>
      </c>
      <c r="X150" s="56">
        <f>SUM(X50/X100)*100000</f>
        <v>31.02865425130199</v>
      </c>
    </row>
    <row r="151" spans="1:24" x14ac:dyDescent="0.15">
      <c r="M151" s="51">
        <v>2021</v>
      </c>
      <c r="N151" s="19">
        <f>SUM(N51/N101)*100000</f>
        <v>3.2883862119169298</v>
      </c>
      <c r="O151" s="19">
        <f t="shared" ref="O151:W151" si="49">SUM(O51/O101)*100000</f>
        <v>1.3527883233264199E-2</v>
      </c>
      <c r="P151" s="19">
        <f t="shared" si="49"/>
        <v>0.6272731932470994</v>
      </c>
      <c r="Q151" s="19">
        <f t="shared" si="49"/>
        <v>1.5978025627012924</v>
      </c>
      <c r="R151" s="19">
        <f t="shared" si="49"/>
        <v>1.2149972939350211</v>
      </c>
      <c r="S151" s="19">
        <f t="shared" si="49"/>
        <v>1.0165116681855697</v>
      </c>
      <c r="T151" s="19">
        <f t="shared" si="49"/>
        <v>1.7041016614347035</v>
      </c>
      <c r="U151" s="19">
        <f t="shared" si="49"/>
        <v>2.4835517122319768</v>
      </c>
      <c r="V151" s="19">
        <f t="shared" si="49"/>
        <v>4.8462357748636613</v>
      </c>
      <c r="W151" s="56">
        <f t="shared" si="49"/>
        <v>14.562953986046908</v>
      </c>
      <c r="X151" s="56">
        <f>SUM(X51/X101)*100000</f>
        <v>27.666962598937097</v>
      </c>
    </row>
    <row r="152" spans="1:24" x14ac:dyDescent="0.15">
      <c r="M152" s="51">
        <v>2022</v>
      </c>
      <c r="N152" s="19">
        <f>SUM(N52/N102)*100000</f>
        <v>2.9636615951771277</v>
      </c>
      <c r="O152" s="19">
        <f t="shared" ref="O152:W152" si="50">SUM(O52/O102)*100000</f>
        <v>1.3790595462052867E-2</v>
      </c>
      <c r="P152" s="19">
        <f t="shared" si="50"/>
        <v>0.30839970125139526</v>
      </c>
      <c r="Q152" s="19">
        <f t="shared" si="50"/>
        <v>1.5620863035326187</v>
      </c>
      <c r="R152" s="19">
        <f t="shared" si="50"/>
        <v>0.99577994317611052</v>
      </c>
      <c r="S152" s="19">
        <f t="shared" si="50"/>
        <v>0.97080529965485285</v>
      </c>
      <c r="T152" s="19">
        <f t="shared" si="50"/>
        <v>1.5077128937722033</v>
      </c>
      <c r="U152" s="19">
        <f t="shared" si="50"/>
        <v>2.1162435915203921</v>
      </c>
      <c r="V152" s="19">
        <f t="shared" si="50"/>
        <v>4.6192085755973809</v>
      </c>
      <c r="W152" s="56">
        <f t="shared" si="50"/>
        <v>12.796834222013834</v>
      </c>
      <c r="X152" s="56">
        <f>SUM(X52/X102)*100000</f>
        <v>22.865879670867844</v>
      </c>
    </row>
    <row r="153" spans="1:24" ht="14.25" thickBot="1" x14ac:dyDescent="0.2">
      <c r="B153" t="s">
        <v>1</v>
      </c>
      <c r="C153" t="s">
        <v>3</v>
      </c>
      <c r="D153" t="s">
        <v>4</v>
      </c>
      <c r="E153" t="s">
        <v>5</v>
      </c>
      <c r="F153" t="s">
        <v>6</v>
      </c>
      <c r="G153" t="s">
        <v>7</v>
      </c>
      <c r="H153" t="s">
        <v>8</v>
      </c>
      <c r="I153" t="s">
        <v>26</v>
      </c>
      <c r="J153" t="s">
        <v>27</v>
      </c>
      <c r="K153" t="s">
        <v>23</v>
      </c>
      <c r="L153" s="7" t="s">
        <v>1</v>
      </c>
      <c r="M153" t="s">
        <v>3</v>
      </c>
      <c r="N153" t="s">
        <v>4</v>
      </c>
      <c r="O153" t="s">
        <v>5</v>
      </c>
      <c r="P153" t="s">
        <v>6</v>
      </c>
      <c r="Q153" t="s">
        <v>7</v>
      </c>
      <c r="R153" t="s">
        <v>8</v>
      </c>
      <c r="S153" t="s">
        <v>9</v>
      </c>
      <c r="T153" t="s">
        <v>23</v>
      </c>
      <c r="U153" t="s">
        <v>27</v>
      </c>
      <c r="V153" t="s">
        <v>35</v>
      </c>
    </row>
    <row r="154" spans="1:24" x14ac:dyDescent="0.15">
      <c r="A154">
        <v>75</v>
      </c>
      <c r="B154" s="11">
        <v>12.242035485196634</v>
      </c>
      <c r="C154" s="12">
        <v>3.6704214656372609</v>
      </c>
      <c r="D154" s="12">
        <v>10.567191101312757</v>
      </c>
      <c r="E154" s="12">
        <v>12.072377721232684</v>
      </c>
      <c r="F154" s="12">
        <v>17.34130043690568</v>
      </c>
      <c r="G154" s="12">
        <v>22.773792443806791</v>
      </c>
      <c r="H154" s="12">
        <v>29.878678368611254</v>
      </c>
      <c r="I154" s="12">
        <v>31.576016335622796</v>
      </c>
      <c r="J154" s="13"/>
      <c r="K154" s="13"/>
      <c r="L154" s="41"/>
      <c r="M154" s="12"/>
      <c r="N154" s="12"/>
      <c r="O154" s="12"/>
      <c r="P154" s="12"/>
      <c r="Q154" s="12"/>
      <c r="R154" s="12"/>
      <c r="S154" s="12"/>
      <c r="T154" s="13"/>
      <c r="U154" s="13"/>
      <c r="V154" s="14"/>
    </row>
    <row r="155" spans="1:24" x14ac:dyDescent="0.15">
      <c r="B155" s="15">
        <v>11.814017650283855</v>
      </c>
      <c r="C155" s="2">
        <v>3.7163876204972097</v>
      </c>
      <c r="D155" s="2">
        <v>10.186384929731885</v>
      </c>
      <c r="E155" s="2">
        <v>11.330955941562177</v>
      </c>
      <c r="F155" s="2">
        <v>16.523821527602724</v>
      </c>
      <c r="G155" s="2">
        <v>21.798990362551628</v>
      </c>
      <c r="H155" s="2">
        <v>28.395989974937343</v>
      </c>
      <c r="I155" s="2">
        <v>31.064289573203673</v>
      </c>
      <c r="L155" s="25"/>
      <c r="M155" s="2"/>
      <c r="N155" s="2"/>
      <c r="O155" s="2"/>
      <c r="P155" s="2"/>
      <c r="Q155" s="2"/>
      <c r="R155" s="2"/>
      <c r="S155" s="2"/>
      <c r="V155" s="16"/>
    </row>
    <row r="156" spans="1:24" x14ac:dyDescent="0.15">
      <c r="B156" s="15">
        <v>11.714876395045289</v>
      </c>
      <c r="C156" s="2">
        <v>3.3412887828162292</v>
      </c>
      <c r="D156" s="2">
        <v>9.6994322029483779</v>
      </c>
      <c r="E156" s="2">
        <v>11.427774679308422</v>
      </c>
      <c r="F156" s="2">
        <v>15.87360594795539</v>
      </c>
      <c r="G156" s="2">
        <v>20.840306526909188</v>
      </c>
      <c r="H156" s="2">
        <v>29.82803414573797</v>
      </c>
      <c r="I156" s="2">
        <v>30.462328767123289</v>
      </c>
      <c r="L156" s="25"/>
      <c r="M156" s="2"/>
      <c r="N156" s="2"/>
      <c r="O156" s="2"/>
      <c r="P156" s="2"/>
      <c r="Q156" s="2"/>
      <c r="R156" s="2"/>
      <c r="S156" s="2"/>
      <c r="V156" s="16"/>
    </row>
    <row r="157" spans="1:24" x14ac:dyDescent="0.15">
      <c r="B157" s="15">
        <v>11.459183496275202</v>
      </c>
      <c r="C157" s="2">
        <v>3.0061120119745541</v>
      </c>
      <c r="D157" s="2">
        <v>8.914940021810251</v>
      </c>
      <c r="E157" s="2">
        <v>10.25297459534784</v>
      </c>
      <c r="F157" s="2">
        <v>15.527187921934454</v>
      </c>
      <c r="G157" s="2">
        <v>20.916905444126076</v>
      </c>
      <c r="H157" s="2">
        <v>29.61787327554633</v>
      </c>
      <c r="I157" s="2">
        <v>31.288947195801903</v>
      </c>
      <c r="L157" s="25"/>
      <c r="M157" s="2"/>
      <c r="N157" s="2"/>
      <c r="O157" s="2"/>
      <c r="P157" s="2"/>
      <c r="Q157" s="2"/>
      <c r="R157" s="2"/>
      <c r="S157" s="2"/>
      <c r="V157" s="16"/>
    </row>
    <row r="158" spans="1:24" x14ac:dyDescent="0.15">
      <c r="B158" s="15">
        <v>11.027012132641024</v>
      </c>
      <c r="C158" s="2">
        <v>2.4417451660882499</v>
      </c>
      <c r="D158" s="2">
        <v>8.2829435253850541</v>
      </c>
      <c r="E158" s="2">
        <v>9.7888478884788857</v>
      </c>
      <c r="F158" s="2">
        <v>13.816597102872576</v>
      </c>
      <c r="G158" s="2">
        <v>19.872980143098321</v>
      </c>
      <c r="H158" s="2">
        <v>28.241864983001456</v>
      </c>
      <c r="I158" s="2">
        <v>33.698372966207756</v>
      </c>
      <c r="L158" s="25"/>
      <c r="M158" s="2"/>
      <c r="N158" s="2"/>
      <c r="O158" s="2"/>
      <c r="P158" s="2"/>
      <c r="Q158" s="2"/>
      <c r="R158" s="2"/>
      <c r="S158" s="2"/>
      <c r="V158" s="16"/>
    </row>
    <row r="159" spans="1:24" x14ac:dyDescent="0.15">
      <c r="A159">
        <v>80</v>
      </c>
      <c r="B159" s="15">
        <v>10.512675767217489</v>
      </c>
      <c r="C159" s="2">
        <v>2.1147301895964996</v>
      </c>
      <c r="D159" s="2">
        <v>7.1695206494045154</v>
      </c>
      <c r="E159" s="2">
        <v>9.2136854741896759</v>
      </c>
      <c r="F159" s="2">
        <v>12.8237947217651</v>
      </c>
      <c r="G159" s="2">
        <v>19.163081736409854</v>
      </c>
      <c r="H159" s="2">
        <v>27.153736316039982</v>
      </c>
      <c r="I159" s="2">
        <v>33.006929798131971</v>
      </c>
      <c r="L159" s="25"/>
      <c r="M159" s="2"/>
      <c r="N159" s="2"/>
      <c r="O159" s="2"/>
      <c r="P159" s="2"/>
      <c r="Q159" s="2"/>
      <c r="R159" s="2"/>
      <c r="S159" s="2"/>
      <c r="V159" s="16"/>
    </row>
    <row r="160" spans="1:24" x14ac:dyDescent="0.15">
      <c r="B160" s="15">
        <v>10.361032879780122</v>
      </c>
      <c r="C160" s="2">
        <v>2.2080471050049066</v>
      </c>
      <c r="D160" s="2">
        <v>6.7381503594492509</v>
      </c>
      <c r="E160" s="2">
        <v>8.657577868444621</v>
      </c>
      <c r="F160" s="2">
        <v>12.553051587064379</v>
      </c>
      <c r="G160" s="2">
        <v>19.01297532438311</v>
      </c>
      <c r="H160" s="2">
        <v>26.550116550116549</v>
      </c>
      <c r="I160" s="2">
        <v>31.956989247311828</v>
      </c>
      <c r="L160" s="25"/>
      <c r="M160" s="2"/>
      <c r="N160" s="2"/>
      <c r="O160" s="2"/>
      <c r="P160" s="2"/>
      <c r="Q160" s="2"/>
      <c r="R160" s="2"/>
      <c r="S160" s="2"/>
      <c r="V160" s="16"/>
    </row>
    <row r="161" spans="1:22" x14ac:dyDescent="0.15">
      <c r="B161" s="15">
        <v>10.656904787982443</v>
      </c>
      <c r="C161" s="2">
        <v>1.9610173520323271</v>
      </c>
      <c r="D161" s="2">
        <v>7.2005467196819088</v>
      </c>
      <c r="E161" s="2">
        <v>8.1869886250249451</v>
      </c>
      <c r="F161" s="2">
        <v>12.139543078639807</v>
      </c>
      <c r="G161" s="2">
        <v>19.551374819102751</v>
      </c>
      <c r="H161" s="2">
        <v>26.5546410608139</v>
      </c>
      <c r="I161" s="2">
        <v>35.01577287066246</v>
      </c>
      <c r="L161" s="25"/>
      <c r="M161" s="2"/>
      <c r="N161" s="2"/>
      <c r="O161" s="2"/>
      <c r="P161" s="2"/>
      <c r="Q161" s="2"/>
      <c r="R161" s="2"/>
      <c r="S161" s="2"/>
      <c r="V161" s="16"/>
    </row>
    <row r="162" spans="1:22" x14ac:dyDescent="0.15">
      <c r="B162" s="15">
        <v>10.888578291472427</v>
      </c>
      <c r="C162" s="2">
        <v>2.0644861980978892</v>
      </c>
      <c r="D162" s="2">
        <v>6.5629313590161873</v>
      </c>
      <c r="E162" s="2">
        <v>8.2100406239029038</v>
      </c>
      <c r="F162" s="2">
        <v>12.170785473952895</v>
      </c>
      <c r="G162" s="2">
        <v>19.516806722689076</v>
      </c>
      <c r="H162" s="2">
        <v>27.5315395779837</v>
      </c>
      <c r="I162" s="2">
        <v>36.350480199973688</v>
      </c>
      <c r="L162" s="25"/>
      <c r="M162" s="2"/>
      <c r="N162" s="2"/>
      <c r="O162" s="2"/>
      <c r="P162" s="2"/>
      <c r="Q162" s="2"/>
      <c r="R162" s="2"/>
      <c r="S162" s="2"/>
      <c r="V162" s="16"/>
    </row>
    <row r="163" spans="1:22" x14ac:dyDescent="0.15">
      <c r="B163" s="15">
        <v>11.042541689191999</v>
      </c>
      <c r="C163" s="2">
        <v>2.4801812004530013</v>
      </c>
      <c r="D163" s="2">
        <v>6.5374239287282769</v>
      </c>
      <c r="E163" s="2">
        <v>7.9328756674294434</v>
      </c>
      <c r="F163" s="2">
        <v>11.87949332420404</v>
      </c>
      <c r="G163" s="2">
        <v>19.616015304728069</v>
      </c>
      <c r="H163" s="2">
        <v>27.189840442852493</v>
      </c>
      <c r="I163" s="2">
        <v>37.43531490596996</v>
      </c>
      <c r="L163" s="25"/>
      <c r="M163" s="2"/>
      <c r="N163" s="2"/>
      <c r="O163" s="2"/>
      <c r="P163" s="2"/>
      <c r="Q163" s="2"/>
      <c r="R163" s="2"/>
      <c r="S163" s="2"/>
      <c r="V163" s="16"/>
    </row>
    <row r="164" spans="1:22" x14ac:dyDescent="0.15">
      <c r="A164">
        <v>85</v>
      </c>
      <c r="B164" s="15">
        <v>11.409118701766563</v>
      </c>
      <c r="C164" s="2">
        <v>2.3846668152440382</v>
      </c>
      <c r="D164" s="2">
        <v>6.7654198045683698</v>
      </c>
      <c r="E164" s="2">
        <v>7.8488664987405539</v>
      </c>
      <c r="F164" s="2">
        <v>11.785755511947363</v>
      </c>
      <c r="G164" s="2">
        <v>19.148650463273803</v>
      </c>
      <c r="H164" s="2">
        <v>27.658241069563402</v>
      </c>
      <c r="I164" s="2">
        <v>41.142787524366469</v>
      </c>
      <c r="L164" s="25"/>
      <c r="M164" s="2"/>
      <c r="N164" s="2"/>
      <c r="O164" s="2"/>
      <c r="P164" s="2"/>
      <c r="Q164" s="2"/>
      <c r="R164" s="2"/>
      <c r="S164" s="2"/>
      <c r="V164" s="16"/>
    </row>
    <row r="165" spans="1:22" x14ac:dyDescent="0.15">
      <c r="B165" s="15">
        <v>11.296765073311855</v>
      </c>
      <c r="C165" s="2">
        <v>2.2184838607927664</v>
      </c>
      <c r="D165" s="2">
        <v>6.3800277392510401</v>
      </c>
      <c r="E165" s="2">
        <v>7.5777331995987964</v>
      </c>
      <c r="F165" s="2">
        <v>11.536435469710272</v>
      </c>
      <c r="G165" s="2">
        <v>18.553521034324341</v>
      </c>
      <c r="H165" s="2">
        <v>27.594127634075701</v>
      </c>
      <c r="I165" s="2">
        <v>39.62505822077317</v>
      </c>
      <c r="L165" s="25"/>
      <c r="M165" s="2"/>
      <c r="N165" s="2"/>
      <c r="O165" s="2"/>
      <c r="P165" s="2"/>
      <c r="Q165" s="2"/>
      <c r="R165" s="2"/>
      <c r="S165" s="2"/>
      <c r="V165" s="16"/>
    </row>
    <row r="166" spans="1:22" x14ac:dyDescent="0.15">
      <c r="B166" s="15">
        <v>11.781881829483741</v>
      </c>
      <c r="C166" s="2">
        <v>2.6733500417710943</v>
      </c>
      <c r="D166" s="2">
        <v>6.4352766798418974</v>
      </c>
      <c r="E166" s="2">
        <v>8.0668756530825494</v>
      </c>
      <c r="F166" s="2">
        <v>11.273982681532628</v>
      </c>
      <c r="G166" s="2">
        <v>19.512825482974737</v>
      </c>
      <c r="H166" s="2">
        <v>26.579374940265698</v>
      </c>
      <c r="J166" s="17">
        <v>41.586163913991896</v>
      </c>
      <c r="K166" s="17">
        <v>43.422114608555283</v>
      </c>
      <c r="L166" s="25"/>
      <c r="M166" s="2"/>
      <c r="N166" s="2"/>
      <c r="O166" s="2"/>
      <c r="P166" s="2"/>
      <c r="Q166" s="2"/>
      <c r="R166" s="2"/>
      <c r="S166" s="2"/>
      <c r="V166" s="16"/>
    </row>
    <row r="167" spans="1:22" x14ac:dyDescent="0.15">
      <c r="B167" s="15">
        <v>11.884381388302941</v>
      </c>
      <c r="C167" s="2">
        <v>2.0222446916076846</v>
      </c>
      <c r="D167" s="2">
        <v>6.7168711283857645</v>
      </c>
      <c r="E167" s="2">
        <v>7.7230213859869821</v>
      </c>
      <c r="F167" s="2">
        <v>11.118953254791249</v>
      </c>
      <c r="G167" s="2">
        <v>18.706416735973388</v>
      </c>
      <c r="H167" s="2">
        <v>27.120658135283364</v>
      </c>
      <c r="J167" s="17">
        <v>41.35453294603272</v>
      </c>
      <c r="K167" s="17">
        <v>45.509893455098933</v>
      </c>
      <c r="L167" s="25"/>
      <c r="M167" s="2"/>
      <c r="N167" s="2"/>
      <c r="O167" s="2"/>
      <c r="P167" s="2"/>
      <c r="Q167" s="2"/>
      <c r="R167" s="2"/>
      <c r="S167" s="2"/>
      <c r="V167" s="16"/>
    </row>
    <row r="168" spans="1:22" x14ac:dyDescent="0.15">
      <c r="B168" s="15">
        <v>11.934607115330007</v>
      </c>
      <c r="C168" s="2">
        <v>2.2242170357071616</v>
      </c>
      <c r="D168" s="2">
        <v>6.5663801337153771</v>
      </c>
      <c r="E168" s="2">
        <v>7.8535830898779855</v>
      </c>
      <c r="F168" s="2">
        <v>10.631349782293178</v>
      </c>
      <c r="G168" s="2">
        <v>17.666240409207163</v>
      </c>
      <c r="H168" s="2">
        <v>26.732328074609953</v>
      </c>
      <c r="J168" s="17">
        <v>43.323756237713596</v>
      </c>
      <c r="K168" s="17">
        <v>44.281629735525378</v>
      </c>
      <c r="L168" s="25"/>
      <c r="M168" s="2"/>
      <c r="N168" s="2"/>
      <c r="O168" s="2"/>
      <c r="P168" s="2"/>
      <c r="Q168" s="2"/>
      <c r="R168" s="2"/>
      <c r="S168" s="2"/>
      <c r="V168" s="16"/>
    </row>
    <row r="169" spans="1:22" x14ac:dyDescent="0.15">
      <c r="A169">
        <v>90</v>
      </c>
      <c r="B169" s="15">
        <v>12.537820564679233</v>
      </c>
      <c r="C169" s="2">
        <v>2.2255489021956087</v>
      </c>
      <c r="D169" s="2">
        <v>6.6160140268848631</v>
      </c>
      <c r="E169" s="2">
        <v>7.4137931034482758</v>
      </c>
      <c r="F169" s="2">
        <v>11.577079107505071</v>
      </c>
      <c r="G169" s="2">
        <v>17.972204674668351</v>
      </c>
      <c r="H169" s="2">
        <v>28.741554054054053</v>
      </c>
      <c r="J169" s="17">
        <v>42.861322410766533</v>
      </c>
      <c r="K169" s="17">
        <v>47.681895093062607</v>
      </c>
      <c r="L169" s="25"/>
      <c r="M169" s="2"/>
      <c r="N169" s="2"/>
      <c r="O169" s="2"/>
      <c r="P169" s="2"/>
      <c r="Q169" s="2"/>
      <c r="R169" s="2"/>
      <c r="S169" s="2"/>
      <c r="V169" s="16"/>
    </row>
    <row r="170" spans="1:22" x14ac:dyDescent="0.15">
      <c r="B170" s="15">
        <v>12.322339833767323</v>
      </c>
      <c r="C170" s="2">
        <v>1.8993736108304708</v>
      </c>
      <c r="D170" s="2">
        <v>6.3136690647482014</v>
      </c>
      <c r="E170" s="2">
        <v>7.1280107592615236</v>
      </c>
      <c r="F170" s="2">
        <v>11.39030162646659</v>
      </c>
      <c r="G170" s="2">
        <v>16.860753221010903</v>
      </c>
      <c r="H170" s="2">
        <v>27.736398963730569</v>
      </c>
      <c r="J170" s="17">
        <v>41.579923000142593</v>
      </c>
      <c r="K170" s="17">
        <v>47.197452229299365</v>
      </c>
      <c r="L170" s="25"/>
      <c r="M170" s="2"/>
      <c r="N170" s="2"/>
      <c r="O170" s="2"/>
      <c r="P170" s="2"/>
      <c r="Q170" s="2"/>
      <c r="R170" s="2"/>
      <c r="S170" s="2"/>
      <c r="V170" s="16"/>
    </row>
    <row r="171" spans="1:22" x14ac:dyDescent="0.15">
      <c r="B171" s="15">
        <v>12.486741876386077</v>
      </c>
      <c r="C171" s="2">
        <v>1.8911055694098089</v>
      </c>
      <c r="D171" s="2">
        <v>6.2804638915345397</v>
      </c>
      <c r="E171" s="2">
        <v>6.9681846537741734</v>
      </c>
      <c r="F171" s="2">
        <v>11.361113913833115</v>
      </c>
      <c r="G171" s="2">
        <v>16.552101709349717</v>
      </c>
      <c r="H171" s="2">
        <v>26.970241349683668</v>
      </c>
      <c r="J171" s="17">
        <v>41.883433022673529</v>
      </c>
      <c r="K171" s="17">
        <v>49.729891956782716</v>
      </c>
      <c r="L171" s="25"/>
      <c r="M171" s="2"/>
      <c r="N171" s="2"/>
      <c r="O171" s="2"/>
      <c r="P171" s="2"/>
      <c r="Q171" s="2"/>
      <c r="R171" s="2"/>
      <c r="S171" s="2"/>
      <c r="V171" s="16"/>
    </row>
    <row r="172" spans="1:22" x14ac:dyDescent="0.15">
      <c r="B172" s="15">
        <v>12.191016639415215</v>
      </c>
      <c r="C172" s="2">
        <v>1.4894765245547761</v>
      </c>
      <c r="D172" s="2">
        <v>6.4258783673023334</v>
      </c>
      <c r="E172" s="2">
        <v>6.745756294566795</v>
      </c>
      <c r="F172" s="2">
        <v>10.443374714973398</v>
      </c>
      <c r="G172" s="2">
        <v>15.756592779479787</v>
      </c>
      <c r="H172" s="2">
        <v>25.73373676248109</v>
      </c>
      <c r="J172" s="17">
        <v>40.630496549857938</v>
      </c>
      <c r="K172" s="17">
        <v>48.620983793005401</v>
      </c>
      <c r="L172" s="25"/>
      <c r="M172" s="2"/>
      <c r="N172" s="2"/>
      <c r="O172" s="2"/>
      <c r="P172" s="2"/>
      <c r="Q172" s="2"/>
      <c r="R172" s="2"/>
      <c r="S172" s="2"/>
      <c r="V172" s="16"/>
    </row>
    <row r="173" spans="1:22" x14ac:dyDescent="0.15">
      <c r="B173" s="15">
        <v>11.818385399171426</v>
      </c>
      <c r="C173" s="2">
        <v>1.623999097778279</v>
      </c>
      <c r="D173" s="2">
        <v>5.6704898702969233</v>
      </c>
      <c r="E173" s="2">
        <v>6.5240777067645386</v>
      </c>
      <c r="F173" s="2">
        <v>9.5788392398561886</v>
      </c>
      <c r="G173" s="2">
        <v>15.192716954362734</v>
      </c>
      <c r="H173" s="2">
        <v>24.219384365542187</v>
      </c>
      <c r="J173" s="17">
        <v>39.761717727153702</v>
      </c>
      <c r="K173" s="17">
        <v>47.43210540467868</v>
      </c>
      <c r="L173" s="25"/>
      <c r="M173" s="2"/>
      <c r="N173" s="2"/>
      <c r="O173" s="2"/>
      <c r="P173" s="2"/>
      <c r="Q173" s="2"/>
      <c r="R173" s="2"/>
      <c r="S173" s="2"/>
      <c r="V173" s="16"/>
    </row>
    <row r="174" spans="1:22" x14ac:dyDescent="0.15">
      <c r="A174">
        <v>95</v>
      </c>
      <c r="B174" s="15">
        <v>12.027650136578295</v>
      </c>
      <c r="C174" s="2">
        <v>1.2696563774024461</v>
      </c>
      <c r="D174" s="2">
        <v>5.8213412978550094</v>
      </c>
      <c r="E174" s="2">
        <v>6.816740646797717</v>
      </c>
      <c r="F174" s="2">
        <v>9.887525562372188</v>
      </c>
      <c r="G174" s="2">
        <v>15.538199541957837</v>
      </c>
      <c r="H174" s="2">
        <v>23.315691603490201</v>
      </c>
      <c r="J174" s="17">
        <v>38.533007334963322</v>
      </c>
      <c r="K174" s="17">
        <v>45.627186406796604</v>
      </c>
      <c r="L174" s="25"/>
      <c r="M174" s="2"/>
      <c r="N174" s="2"/>
      <c r="O174" s="2"/>
      <c r="P174" s="2"/>
      <c r="Q174" s="2"/>
      <c r="R174" s="2"/>
      <c r="S174" s="2"/>
      <c r="V174" s="16"/>
    </row>
    <row r="175" spans="1:22" x14ac:dyDescent="0.15">
      <c r="B175" s="15">
        <v>11.945433165956906</v>
      </c>
      <c r="C175" s="2">
        <v>1.4921751789397064</v>
      </c>
      <c r="D175" s="2">
        <v>5.9644537375849449</v>
      </c>
      <c r="E175" s="2">
        <v>6.3890473474044498</v>
      </c>
      <c r="F175" s="2">
        <v>10.126838142402345</v>
      </c>
      <c r="G175" s="2">
        <v>15.319763940744309</v>
      </c>
      <c r="H175" s="2">
        <v>22.424499012136607</v>
      </c>
      <c r="J175" s="17">
        <v>37.261222540592165</v>
      </c>
      <c r="K175" s="17">
        <v>46.24235006119951</v>
      </c>
      <c r="L175" s="25"/>
      <c r="M175" s="2"/>
      <c r="N175" s="2"/>
      <c r="O175" s="2"/>
      <c r="P175" s="2"/>
      <c r="Q175" s="2"/>
      <c r="R175" s="2"/>
      <c r="S175" s="2"/>
      <c r="V175" s="16"/>
    </row>
    <row r="176" spans="1:22" x14ac:dyDescent="0.15">
      <c r="B176" s="15">
        <v>12.655549038568235</v>
      </c>
      <c r="C176" s="2">
        <v>1.5490318550905684</v>
      </c>
      <c r="D176" s="2">
        <v>6.1261922230374175</v>
      </c>
      <c r="E176" s="2">
        <v>6.699427718337895</v>
      </c>
      <c r="F176" s="2">
        <v>9.9963171463145155</v>
      </c>
      <c r="G176" s="2">
        <v>15.623362254702149</v>
      </c>
      <c r="H176" s="2">
        <v>22.663243355769897</v>
      </c>
      <c r="J176" s="17">
        <v>39.227966294693694</v>
      </c>
      <c r="K176" s="17">
        <v>53.541275797373359</v>
      </c>
      <c r="L176" s="25"/>
      <c r="M176" s="2"/>
      <c r="N176" s="2"/>
      <c r="O176" s="2"/>
      <c r="P176" s="2"/>
      <c r="Q176" s="2"/>
      <c r="R176" s="2"/>
      <c r="S176" s="2"/>
      <c r="V176" s="16"/>
    </row>
    <row r="177" spans="1:22" x14ac:dyDescent="0.15">
      <c r="B177" s="15"/>
      <c r="C177" s="2"/>
      <c r="D177" s="2"/>
      <c r="E177" s="2"/>
      <c r="F177" s="2"/>
      <c r="G177" s="2"/>
      <c r="H177" s="2"/>
      <c r="J177" s="2"/>
      <c r="K177" s="2"/>
      <c r="L177" s="25">
        <v>10.598010847050267</v>
      </c>
      <c r="M177" s="2">
        <v>1.549891123350839</v>
      </c>
      <c r="N177" s="2">
        <v>5.3756647185805297</v>
      </c>
      <c r="O177" s="2">
        <v>5.4885883864651532</v>
      </c>
      <c r="P177" s="2">
        <v>8.5980073760114486</v>
      </c>
      <c r="Q177" s="2">
        <v>12.58659217877095</v>
      </c>
      <c r="R177" s="2">
        <v>17.922844590884129</v>
      </c>
      <c r="S177" s="17">
        <v>31.400021722602368</v>
      </c>
      <c r="T177" s="17">
        <v>45.904590459045906</v>
      </c>
      <c r="V177" s="16"/>
    </row>
    <row r="178" spans="1:22" x14ac:dyDescent="0.15">
      <c r="B178" s="15"/>
      <c r="C178" s="2"/>
      <c r="D178" s="2"/>
      <c r="E178" s="2"/>
      <c r="F178" s="2"/>
      <c r="G178" s="2"/>
      <c r="H178" s="2"/>
      <c r="I178" s="2"/>
      <c r="L178" s="25">
        <v>11.431413100105773</v>
      </c>
      <c r="M178" s="2">
        <v>1.3977792292619202</v>
      </c>
      <c r="N178" s="2">
        <v>5.4671280276816612</v>
      </c>
      <c r="O178" s="2">
        <v>5.9961431842834756</v>
      </c>
      <c r="P178" s="2">
        <v>8.4597197393460579</v>
      </c>
      <c r="Q178" s="2">
        <v>12.541993281075028</v>
      </c>
      <c r="R178" s="2">
        <v>18.208627666140867</v>
      </c>
      <c r="S178" s="17">
        <v>35.227155127807102</v>
      </c>
      <c r="T178" s="17">
        <v>53.84951881014873</v>
      </c>
      <c r="V178" s="16"/>
    </row>
    <row r="179" spans="1:22" x14ac:dyDescent="0.15">
      <c r="A179" s="5">
        <v>2000</v>
      </c>
      <c r="B179" s="15"/>
      <c r="C179" s="2"/>
      <c r="D179" s="2"/>
      <c r="E179" s="2"/>
      <c r="F179" s="2"/>
      <c r="G179" s="2"/>
      <c r="H179" s="2"/>
      <c r="I179" s="2"/>
      <c r="L179" s="25">
        <v>10.415304249166791</v>
      </c>
      <c r="M179" s="2">
        <v>1.2760866675528379</v>
      </c>
      <c r="N179" s="2">
        <v>5.2891911640717213</v>
      </c>
      <c r="O179" s="2">
        <v>5.6241015812170581</v>
      </c>
      <c r="P179" s="2">
        <v>7.9937958599296071</v>
      </c>
      <c r="Q179" s="2">
        <v>11.329234902102598</v>
      </c>
      <c r="R179" s="2">
        <v>15.145283269205255</v>
      </c>
      <c r="S179" s="17">
        <v>29.8283685144999</v>
      </c>
      <c r="T179" s="17">
        <v>48.660170523751525</v>
      </c>
      <c r="V179" s="16"/>
    </row>
    <row r="180" spans="1:22" x14ac:dyDescent="0.15">
      <c r="A180" s="5"/>
      <c r="B180" s="15"/>
      <c r="C180" s="2"/>
      <c r="D180" s="2"/>
      <c r="E180" s="2"/>
      <c r="F180" s="2"/>
      <c r="G180" s="2"/>
      <c r="H180" s="2"/>
      <c r="I180" s="2"/>
      <c r="L180" s="25">
        <v>9.942572530658099</v>
      </c>
      <c r="M180" s="2">
        <v>1.3061224489795917</v>
      </c>
      <c r="N180" s="2">
        <v>4.7587131367292228</v>
      </c>
      <c r="O180" s="2">
        <v>5.3924678470500025</v>
      </c>
      <c r="P180" s="2">
        <v>6.9336117423079289</v>
      </c>
      <c r="Q180" s="2">
        <v>10.633238562936159</v>
      </c>
      <c r="R180" s="2">
        <v>14.458703520895032</v>
      </c>
      <c r="S180" s="17">
        <v>27.816968541468064</v>
      </c>
      <c r="T180" s="17">
        <v>48.304254067829838</v>
      </c>
      <c r="V180" s="16"/>
    </row>
    <row r="181" spans="1:22" x14ac:dyDescent="0.15">
      <c r="A181" s="5"/>
      <c r="B181" s="15"/>
      <c r="C181" s="2"/>
      <c r="D181" s="2"/>
      <c r="E181" s="2"/>
      <c r="F181" s="2"/>
      <c r="G181" s="2"/>
      <c r="H181" s="2"/>
      <c r="I181" s="2"/>
      <c r="L181" s="25">
        <v>9.3639894848354057</v>
      </c>
      <c r="M181" s="2">
        <v>1.1537392271337226</v>
      </c>
      <c r="N181" s="2">
        <v>4.6150318179212295</v>
      </c>
      <c r="O181" s="2">
        <v>5.0918102962712632</v>
      </c>
      <c r="P181" s="2">
        <v>6.4020566842237274</v>
      </c>
      <c r="Q181" s="2">
        <v>9.5250454191539067</v>
      </c>
      <c r="R181" s="2">
        <v>13.02016024812613</v>
      </c>
      <c r="S181" s="17">
        <v>25.404263138552004</v>
      </c>
      <c r="T181" s="17">
        <v>46.554934823091244</v>
      </c>
      <c r="V181" s="16"/>
    </row>
    <row r="182" spans="1:22" x14ac:dyDescent="0.15">
      <c r="A182" s="6"/>
      <c r="B182" s="15"/>
      <c r="C182" s="2"/>
      <c r="D182" s="2"/>
      <c r="E182" s="2"/>
      <c r="F182" s="2"/>
      <c r="G182" s="2"/>
      <c r="H182" s="2"/>
      <c r="I182" s="2"/>
      <c r="L182" s="25">
        <v>9.2909363025881735</v>
      </c>
      <c r="M182" s="19">
        <v>0.94326139774188933</v>
      </c>
      <c r="N182" s="19">
        <v>4.868847627468317</v>
      </c>
      <c r="O182" s="19">
        <v>4.9424844515383342</v>
      </c>
      <c r="P182" s="19">
        <v>5.8842158601469468</v>
      </c>
      <c r="Q182" s="19">
        <v>9.5814001980920604</v>
      </c>
      <c r="R182" s="19">
        <v>12.32414539435992</v>
      </c>
      <c r="S182" s="19">
        <v>24.147121535181238</v>
      </c>
      <c r="U182" s="40">
        <v>46.716101694915253</v>
      </c>
      <c r="V182" s="42">
        <v>47.046186895810955</v>
      </c>
    </row>
    <row r="183" spans="1:22" x14ac:dyDescent="0.15">
      <c r="A183" s="6"/>
      <c r="B183" s="15"/>
      <c r="C183" s="2"/>
      <c r="D183" s="2"/>
      <c r="E183" s="2"/>
      <c r="F183" s="2"/>
      <c r="G183" s="2"/>
      <c r="H183" s="2"/>
      <c r="I183" s="2"/>
      <c r="L183" s="25">
        <v>8.9633518967000825</v>
      </c>
      <c r="M183" s="19">
        <v>1.1536352229089475</v>
      </c>
      <c r="N183" s="19">
        <v>4.3688710655130416</v>
      </c>
      <c r="O183" s="19">
        <v>4.7942820124382939</v>
      </c>
      <c r="P183" s="19">
        <v>5.6208494689566066</v>
      </c>
      <c r="Q183" s="19">
        <v>9.0126616015895653</v>
      </c>
      <c r="R183" s="19">
        <v>11.509369758540174</v>
      </c>
      <c r="S183" s="19">
        <v>23.227727022494228</v>
      </c>
      <c r="U183" s="40">
        <v>43.367673477760341</v>
      </c>
      <c r="V183" s="42">
        <v>47.736173488018217</v>
      </c>
    </row>
    <row r="184" spans="1:22" x14ac:dyDescent="0.15">
      <c r="A184" s="6" t="s">
        <v>29</v>
      </c>
      <c r="B184" s="15"/>
      <c r="C184" s="2"/>
      <c r="D184" s="2"/>
      <c r="E184" s="2"/>
      <c r="F184" s="2"/>
      <c r="G184" s="2"/>
      <c r="H184" s="2"/>
      <c r="I184" s="2"/>
      <c r="L184" s="25">
        <v>8.8704412413601759</v>
      </c>
      <c r="M184" s="19">
        <v>1.1031946678924385</v>
      </c>
      <c r="N184" s="19">
        <v>4.6214316376904918</v>
      </c>
      <c r="O184" s="19">
        <v>4.8805791992503433</v>
      </c>
      <c r="P184" s="19">
        <v>5.5408670571417726</v>
      </c>
      <c r="Q184" s="19">
        <v>8.0469120039539526</v>
      </c>
      <c r="R184" s="19">
        <v>10.861466328242841</v>
      </c>
      <c r="S184" s="19">
        <v>20.908192056333952</v>
      </c>
      <c r="U184" s="40">
        <v>42.475025336615026</v>
      </c>
      <c r="V184" s="42">
        <v>44.202833972016755</v>
      </c>
    </row>
    <row r="185" spans="1:22" x14ac:dyDescent="0.15">
      <c r="A185" s="6"/>
      <c r="B185" s="15"/>
      <c r="C185" s="2"/>
      <c r="D185" s="2"/>
      <c r="E185" s="2"/>
      <c r="F185" s="2"/>
      <c r="G185" s="2"/>
      <c r="H185" s="2"/>
      <c r="I185" s="2"/>
      <c r="L185" s="25">
        <v>8.2116302731470618</v>
      </c>
      <c r="M185" s="19">
        <v>0.8250312616798352</v>
      </c>
      <c r="N185" s="19">
        <v>3.9669684629269506</v>
      </c>
      <c r="O185" s="19">
        <v>4.128704567399252</v>
      </c>
      <c r="P185" s="19">
        <v>5.0074406741074045</v>
      </c>
      <c r="Q185" s="19">
        <v>7.4359510513842402</v>
      </c>
      <c r="R185" s="19">
        <v>9.9573906131488421</v>
      </c>
      <c r="S185" s="19">
        <v>20.103575123944101</v>
      </c>
      <c r="U185" s="40">
        <v>41.011673679972475</v>
      </c>
      <c r="V185" s="42">
        <v>43.652955538945108</v>
      </c>
    </row>
    <row r="186" spans="1:22" x14ac:dyDescent="0.15">
      <c r="A186" s="6"/>
      <c r="B186" s="15"/>
      <c r="C186" s="2"/>
      <c r="D186" s="2"/>
      <c r="E186" s="2"/>
      <c r="F186" s="2"/>
      <c r="G186" s="2"/>
      <c r="H186" s="2"/>
      <c r="I186" s="2"/>
      <c r="L186" s="25">
        <v>7.9861756200716734</v>
      </c>
      <c r="M186" s="19">
        <v>0.82780969355599499</v>
      </c>
      <c r="N186" s="19">
        <v>3.858177903643071</v>
      </c>
      <c r="O186" s="19">
        <v>4.0872985229258862</v>
      </c>
      <c r="P186" s="19">
        <v>4.8078821686494742</v>
      </c>
      <c r="Q186" s="19">
        <v>6.8707138850256904</v>
      </c>
      <c r="R186" s="19">
        <v>9.2208453148633591</v>
      </c>
      <c r="S186" s="19">
        <v>18.410976561761739</v>
      </c>
      <c r="U186" s="40">
        <v>41.665166551643765</v>
      </c>
      <c r="V186" s="42">
        <v>40.498184944983826</v>
      </c>
    </row>
    <row r="187" spans="1:22" x14ac:dyDescent="0.15">
      <c r="A187" s="6"/>
      <c r="B187" s="15"/>
      <c r="C187" s="2"/>
      <c r="D187" s="2"/>
      <c r="E187" s="2"/>
      <c r="F187" s="2"/>
      <c r="G187" s="2"/>
      <c r="H187" s="2"/>
      <c r="I187" s="2"/>
      <c r="L187" s="26">
        <v>7.6817654982301162</v>
      </c>
      <c r="M187" s="19">
        <v>0.89358245329000807</v>
      </c>
      <c r="N187" s="19">
        <v>3.2914828639294198</v>
      </c>
      <c r="O187" s="19">
        <v>3.832303144316044</v>
      </c>
      <c r="P187" s="19">
        <v>4.4603694322604559</v>
      </c>
      <c r="Q187" s="19">
        <v>6.8856172140430347</v>
      </c>
      <c r="R187" s="19">
        <v>8.4117647058823533</v>
      </c>
      <c r="S187" s="19">
        <v>17.621040992022746</v>
      </c>
      <c r="U187" s="40">
        <v>38.825605647360824</v>
      </c>
      <c r="V187" s="42">
        <v>41.714024583152693</v>
      </c>
    </row>
    <row r="188" spans="1:22" x14ac:dyDescent="0.15">
      <c r="A188" s="6"/>
      <c r="B188" s="15"/>
      <c r="C188" s="2"/>
      <c r="D188" s="2"/>
      <c r="E188" s="2"/>
      <c r="F188" s="2"/>
      <c r="G188" s="2"/>
      <c r="H188" s="2"/>
      <c r="I188" s="2"/>
      <c r="L188" s="26">
        <v>7.5876659513713198</v>
      </c>
      <c r="M188" s="19">
        <v>0.78966057920616406</v>
      </c>
      <c r="N188" s="19">
        <v>3.6488610801586101</v>
      </c>
      <c r="O188" s="19">
        <v>3.7310022744910936</v>
      </c>
      <c r="P188" s="19">
        <v>4.3882809494484665</v>
      </c>
      <c r="Q188" s="19">
        <v>6.0630043947002825</v>
      </c>
      <c r="R188" s="19">
        <v>8.2031421630382368</v>
      </c>
      <c r="S188" s="19">
        <v>15.821661812096663</v>
      </c>
      <c r="U188" s="40">
        <v>39.132643979579761</v>
      </c>
      <c r="V188" s="42">
        <v>47.225359717369756</v>
      </c>
    </row>
    <row r="189" spans="1:22" x14ac:dyDescent="0.15">
      <c r="A189" s="6">
        <v>10</v>
      </c>
      <c r="B189" s="15"/>
      <c r="C189" s="2"/>
      <c r="D189" s="2"/>
      <c r="E189" s="2"/>
      <c r="F189" s="2"/>
      <c r="G189" s="2"/>
      <c r="H189" s="2"/>
      <c r="I189" s="2"/>
      <c r="L189" s="58">
        <v>7.0430124320609737</v>
      </c>
      <c r="M189" s="19">
        <v>0.99760574620909814</v>
      </c>
      <c r="N189" s="19">
        <v>2.7665369926533865</v>
      </c>
      <c r="O189" s="19">
        <v>3.3334079062171411</v>
      </c>
      <c r="P189" s="19">
        <v>3.7032361233850946</v>
      </c>
      <c r="Q189" s="19">
        <v>5.3017164229769849</v>
      </c>
      <c r="R189" s="19">
        <v>7.6672554647825129</v>
      </c>
      <c r="S189" s="19">
        <v>15.464197358522759</v>
      </c>
      <c r="U189" s="56">
        <v>37.020176804017737</v>
      </c>
      <c r="V189" s="57">
        <v>43.073767489561206</v>
      </c>
    </row>
    <row r="190" spans="1:22" x14ac:dyDescent="0.15">
      <c r="A190" s="16"/>
      <c r="L190" s="58">
        <v>6.7715866664813751</v>
      </c>
      <c r="M190" s="19">
        <v>0.74069294623293447</v>
      </c>
      <c r="N190" s="19">
        <v>2.6491594511412577</v>
      </c>
      <c r="O190" s="19">
        <v>2.9205986395963865</v>
      </c>
      <c r="P190" s="19">
        <v>3.616724428166934</v>
      </c>
      <c r="Q190" s="19">
        <v>5.1317455040207447</v>
      </c>
      <c r="R190" s="19">
        <v>6.7108029489247327</v>
      </c>
      <c r="S190" s="19">
        <v>13.634206325236226</v>
      </c>
      <c r="U190" s="56">
        <v>36.016122412113781</v>
      </c>
      <c r="V190" s="57">
        <v>45.515102298305152</v>
      </c>
    </row>
    <row r="191" spans="1:22" x14ac:dyDescent="0.15">
      <c r="B191" s="30"/>
      <c r="L191" s="58">
        <v>6.4596254626499903</v>
      </c>
      <c r="M191" s="19">
        <v>0.66120489384190129</v>
      </c>
      <c r="N191" s="19">
        <v>2.5299675405915276</v>
      </c>
      <c r="O191" s="19">
        <v>2.5965840893034819</v>
      </c>
      <c r="P191" s="19">
        <v>3.1402377561705532</v>
      </c>
      <c r="Q191" s="19">
        <v>4.350139949759722</v>
      </c>
      <c r="R191" s="19">
        <v>6.2926259691849946</v>
      </c>
      <c r="S191" s="19">
        <v>13.194344117285924</v>
      </c>
      <c r="U191" s="56">
        <v>34.162636276132325</v>
      </c>
      <c r="V191" s="57">
        <v>44.379685886081667</v>
      </c>
    </row>
    <row r="192" spans="1:22" x14ac:dyDescent="0.15">
      <c r="B192" s="30"/>
      <c r="L192" s="58">
        <v>6.3779635397300156</v>
      </c>
      <c r="M192" s="19">
        <v>0.81029839651869351</v>
      </c>
      <c r="N192" s="19">
        <v>2.7305767459954029</v>
      </c>
      <c r="O192" s="19">
        <v>2.469546061469639</v>
      </c>
      <c r="P192" s="19">
        <v>2.8937757981080683</v>
      </c>
      <c r="Q192" s="19">
        <v>4.2870031578336834</v>
      </c>
      <c r="R192" s="19">
        <v>6.092931747239926</v>
      </c>
      <c r="S192" s="65">
        <v>12.102618403650242</v>
      </c>
      <c r="U192" s="56">
        <v>33.950724880496047</v>
      </c>
      <c r="V192" s="57">
        <v>43.636345604815865</v>
      </c>
    </row>
    <row r="193" spans="1:22" x14ac:dyDescent="0.15">
      <c r="B193" s="30"/>
      <c r="L193" s="58">
        <v>6.0204833825727464</v>
      </c>
      <c r="M193" s="19">
        <v>0.59946078502387101</v>
      </c>
      <c r="N193" s="19">
        <v>2.5542161491053568</v>
      </c>
      <c r="O193" s="19">
        <v>2.113179017557667</v>
      </c>
      <c r="P193" s="19">
        <v>2.6084766251964169</v>
      </c>
      <c r="Q193" s="19">
        <v>3.8652324862884599</v>
      </c>
      <c r="R193" s="19">
        <v>5.5695901261423932</v>
      </c>
      <c r="S193" s="65">
        <v>11.11468139533344</v>
      </c>
      <c r="U193" s="56">
        <v>32.238160450471874</v>
      </c>
      <c r="V193" s="57">
        <v>42.06160102066378</v>
      </c>
    </row>
    <row r="194" spans="1:22" x14ac:dyDescent="0.15">
      <c r="A194">
        <v>15</v>
      </c>
      <c r="B194" s="30"/>
      <c r="L194" s="58">
        <v>5.610101486901109</v>
      </c>
      <c r="M194" s="19">
        <v>0.69579974543911749</v>
      </c>
      <c r="N194" s="19">
        <v>2.3199091104101948</v>
      </c>
      <c r="O194" s="19">
        <v>2.2528354653270495</v>
      </c>
      <c r="P194" s="19">
        <v>2.484376881067297</v>
      </c>
      <c r="Q194" s="2">
        <v>3.4879551455487823</v>
      </c>
      <c r="R194" s="2">
        <v>5.2052598176210569</v>
      </c>
      <c r="S194" s="65">
        <v>10.098257189987807</v>
      </c>
      <c r="U194" s="56">
        <v>29.132118564122933</v>
      </c>
      <c r="V194" s="57">
        <v>41.820752664781381</v>
      </c>
    </row>
    <row r="195" spans="1:22" x14ac:dyDescent="0.15">
      <c r="B195" s="30"/>
      <c r="L195" s="58">
        <v>5.2326912075945211</v>
      </c>
      <c r="M195" s="19">
        <v>0.77817726050146074</v>
      </c>
      <c r="N195" s="19">
        <v>2.2482233056568011</v>
      </c>
      <c r="O195" s="19">
        <v>1.8341942989338649</v>
      </c>
      <c r="P195" s="19">
        <v>2.0322117139210292</v>
      </c>
      <c r="Q195" s="19">
        <v>2.932072615464437</v>
      </c>
      <c r="R195" s="19">
        <v>4.6216659250484042</v>
      </c>
      <c r="S195" s="65">
        <v>8.9856667849205287</v>
      </c>
      <c r="U195" s="56">
        <v>26.196400862884609</v>
      </c>
      <c r="V195" s="57">
        <v>45.140027478343164</v>
      </c>
    </row>
    <row r="196" spans="1:22" x14ac:dyDescent="0.15">
      <c r="B196" s="30"/>
      <c r="L196" s="58">
        <v>5.0186964001211933</v>
      </c>
      <c r="M196" s="19">
        <v>0.66719530774883962</v>
      </c>
      <c r="N196" s="19">
        <v>2.3085473366033762</v>
      </c>
      <c r="O196" s="19">
        <v>2.033865663773065</v>
      </c>
      <c r="P196" s="19">
        <v>1.9630109476750173</v>
      </c>
      <c r="Q196" s="19">
        <v>2.85110410435168</v>
      </c>
      <c r="R196" s="19">
        <v>4.5358527851743959</v>
      </c>
      <c r="S196" s="65">
        <v>8.545450441529896</v>
      </c>
      <c r="U196" s="71">
        <v>22.960109370682392</v>
      </c>
      <c r="V196" s="57">
        <v>42.052328866733539</v>
      </c>
    </row>
    <row r="197" spans="1:22" x14ac:dyDescent="0.15">
      <c r="B197" s="30"/>
      <c r="L197" s="58">
        <v>4.5720140856944598</v>
      </c>
      <c r="M197" s="19">
        <v>0.67720751449774308</v>
      </c>
      <c r="N197" s="19">
        <v>2.3580381377616866</v>
      </c>
      <c r="O197" s="19">
        <v>1.7703338391657859</v>
      </c>
      <c r="P197" s="19">
        <v>1.7111479851952116</v>
      </c>
      <c r="Q197" s="19">
        <v>2.6044849730897992</v>
      </c>
      <c r="R197" s="65">
        <v>4.0862716309265315</v>
      </c>
      <c r="S197" s="65">
        <v>7.2594802647303656</v>
      </c>
      <c r="U197" s="71">
        <v>20.957075913480793</v>
      </c>
      <c r="V197" s="57">
        <v>36.335411126241958</v>
      </c>
    </row>
    <row r="198" spans="1:22" x14ac:dyDescent="0.15">
      <c r="B198" s="30"/>
      <c r="L198" s="58">
        <v>4.1460937931224269</v>
      </c>
      <c r="M198" s="19">
        <v>0.65289549703130134</v>
      </c>
      <c r="N198" s="19">
        <v>2.3440041482538274</v>
      </c>
      <c r="O198" s="19">
        <v>1.3913124215114521</v>
      </c>
      <c r="P198" s="19">
        <v>1.663088955550438</v>
      </c>
      <c r="Q198" s="65">
        <v>2.2361671407156707</v>
      </c>
      <c r="R198" s="65">
        <v>3.2344351893734085</v>
      </c>
      <c r="S198" s="2">
        <v>6.4984291381776993</v>
      </c>
      <c r="U198" s="71">
        <v>17.841255111603484</v>
      </c>
      <c r="V198" s="57">
        <v>37.71684479323504</v>
      </c>
    </row>
    <row r="199" spans="1:22" x14ac:dyDescent="0.15">
      <c r="B199" s="30"/>
      <c r="L199" s="58">
        <v>3.6561241211913487</v>
      </c>
      <c r="M199" s="19">
        <v>0.35048944097985635</v>
      </c>
      <c r="N199" s="19">
        <v>2.0072244336675298</v>
      </c>
      <c r="O199" s="19">
        <v>1.365029410051176</v>
      </c>
      <c r="P199" s="65">
        <v>1.2319635896976882</v>
      </c>
      <c r="Q199" s="65">
        <v>1.8407250034191318</v>
      </c>
      <c r="R199" s="2">
        <v>3.1188877931324006</v>
      </c>
      <c r="S199" s="2">
        <v>5.6911957202208185</v>
      </c>
      <c r="U199" s="71">
        <v>15.897929606285697</v>
      </c>
      <c r="V199" s="57">
        <v>31.02865425130199</v>
      </c>
    </row>
    <row r="200" spans="1:22" x14ac:dyDescent="0.15">
      <c r="B200" s="30"/>
      <c r="L200" s="58">
        <v>3.2883862119169298</v>
      </c>
      <c r="M200" s="19">
        <v>0.6272731932470994</v>
      </c>
      <c r="N200" s="19">
        <v>1.5978025627012924</v>
      </c>
      <c r="O200" s="19">
        <v>1.2149972939350211</v>
      </c>
      <c r="P200" s="65">
        <v>1.0165116681855697</v>
      </c>
      <c r="Q200" s="65">
        <v>1.7041016614347035</v>
      </c>
      <c r="R200" s="2">
        <v>2.4835517122319768</v>
      </c>
      <c r="S200" s="2">
        <v>4.8462357748636613</v>
      </c>
      <c r="U200" s="71">
        <v>14.562953986046908</v>
      </c>
      <c r="V200" s="57">
        <v>27.666962598937097</v>
      </c>
    </row>
    <row r="201" spans="1:22" ht="14.25" thickBot="1" x14ac:dyDescent="0.2">
      <c r="A201">
        <v>2022</v>
      </c>
      <c r="B201" s="23"/>
      <c r="C201" s="18"/>
      <c r="D201" s="18"/>
      <c r="E201" s="18"/>
      <c r="F201" s="18"/>
      <c r="G201" s="18"/>
      <c r="H201" s="18"/>
      <c r="I201" s="18"/>
      <c r="J201" s="18"/>
      <c r="K201" s="18"/>
      <c r="L201" s="98">
        <v>2.9636615951771277</v>
      </c>
      <c r="M201" s="84">
        <v>1.3790595462052867E-2</v>
      </c>
      <c r="N201" s="63">
        <v>0.30839970125139526</v>
      </c>
      <c r="O201" s="63">
        <v>1.5620863035326187</v>
      </c>
      <c r="P201" s="70">
        <v>0.99577994317611052</v>
      </c>
      <c r="Q201" s="70">
        <v>0.97080529965485285</v>
      </c>
      <c r="R201" s="84">
        <v>1.5077128937722033</v>
      </c>
      <c r="S201" s="84">
        <v>2.1162435915203921</v>
      </c>
      <c r="T201" s="99"/>
      <c r="U201" s="69">
        <v>12.796834222013834</v>
      </c>
      <c r="V201" s="64">
        <v>22.865879670867844</v>
      </c>
    </row>
    <row r="202" spans="1:22" x14ac:dyDescent="0.15">
      <c r="B202" t="s">
        <v>15</v>
      </c>
      <c r="L202" s="19"/>
      <c r="M202" s="19"/>
      <c r="N202" s="19"/>
      <c r="O202" s="19"/>
      <c r="P202" s="19"/>
      <c r="Q202" s="19"/>
      <c r="R202" s="19"/>
      <c r="S202" s="2"/>
      <c r="U202" s="19"/>
      <c r="V202" s="19"/>
    </row>
    <row r="203" spans="1:22" x14ac:dyDescent="0.15">
      <c r="L203" s="19"/>
      <c r="M203" s="19"/>
      <c r="N203" s="19"/>
      <c r="O203" s="19"/>
      <c r="P203" s="19"/>
      <c r="Q203" s="19"/>
      <c r="R203" s="19"/>
      <c r="S203" s="2"/>
      <c r="U203" s="19"/>
      <c r="V203" s="19"/>
    </row>
    <row r="204" spans="1:22" x14ac:dyDescent="0.15">
      <c r="K204" s="1" t="s">
        <v>22</v>
      </c>
    </row>
    <row r="205" spans="1:22" x14ac:dyDescent="0.15">
      <c r="J205" s="2"/>
      <c r="K205" s="3"/>
      <c r="L205" t="s">
        <v>31</v>
      </c>
    </row>
    <row r="206" spans="1:22" ht="14.25" thickBot="1" x14ac:dyDescent="0.2">
      <c r="K206" s="3"/>
      <c r="L206" t="s">
        <v>1</v>
      </c>
      <c r="M206" t="s">
        <v>3</v>
      </c>
      <c r="N206" t="s">
        <v>4</v>
      </c>
      <c r="O206" t="s">
        <v>5</v>
      </c>
      <c r="P206" t="s">
        <v>6</v>
      </c>
      <c r="Q206" t="s">
        <v>7</v>
      </c>
      <c r="R206" t="s">
        <v>8</v>
      </c>
      <c r="S206" t="s">
        <v>9</v>
      </c>
      <c r="T206" t="s">
        <v>23</v>
      </c>
      <c r="U206" t="s">
        <v>27</v>
      </c>
      <c r="V206" t="s">
        <v>35</v>
      </c>
    </row>
    <row r="207" spans="1:22" x14ac:dyDescent="0.15">
      <c r="K207">
        <v>98</v>
      </c>
      <c r="L207" s="33"/>
      <c r="M207" s="34"/>
      <c r="N207" s="34"/>
      <c r="O207" s="34"/>
      <c r="P207" s="34"/>
      <c r="Q207" s="34"/>
      <c r="R207" s="34"/>
      <c r="S207" s="34"/>
      <c r="T207" s="34"/>
      <c r="U207" s="34"/>
      <c r="V207" s="14"/>
    </row>
    <row r="208" spans="1:22" x14ac:dyDescent="0.15">
      <c r="K208">
        <v>99</v>
      </c>
      <c r="L208" s="35">
        <f t="shared" ref="L208:T208" si="51">+(L178-L177)*100/L177</f>
        <v>7.8637610876522803</v>
      </c>
      <c r="M208" s="36">
        <f t="shared" si="51"/>
        <v>-9.8143599764643721</v>
      </c>
      <c r="N208" s="36">
        <f t="shared" si="51"/>
        <v>1.7014325462857878</v>
      </c>
      <c r="O208" s="36">
        <f t="shared" si="51"/>
        <v>9.2474560320455321</v>
      </c>
      <c r="P208" s="36">
        <f t="shared" si="51"/>
        <v>-1.608368434891263</v>
      </c>
      <c r="Q208" s="36">
        <f t="shared" si="51"/>
        <v>-0.35433655959032362</v>
      </c>
      <c r="R208" s="36">
        <f t="shared" si="51"/>
        <v>1.5945185141095981</v>
      </c>
      <c r="S208" s="36">
        <f t="shared" si="51"/>
        <v>12.188314514603936</v>
      </c>
      <c r="T208" s="36">
        <f t="shared" si="51"/>
        <v>17.307481172696544</v>
      </c>
      <c r="U208" s="36"/>
      <c r="V208" s="37"/>
    </row>
    <row r="209" spans="9:24" x14ac:dyDescent="0.15">
      <c r="K209" s="5" t="s">
        <v>16</v>
      </c>
      <c r="L209" s="35">
        <f t="shared" ref="L209:T209" si="52">+(L179-L178)*100/L178</f>
        <v>-8.8887422931954099</v>
      </c>
      <c r="M209" s="36">
        <f t="shared" si="52"/>
        <v>-8.7061360736731288</v>
      </c>
      <c r="N209" s="36">
        <f t="shared" si="52"/>
        <v>-3.254667948308394</v>
      </c>
      <c r="O209" s="36">
        <f t="shared" si="52"/>
        <v>-6.2046817701348074</v>
      </c>
      <c r="P209" s="36">
        <f t="shared" si="52"/>
        <v>-5.5075569140836231</v>
      </c>
      <c r="Q209" s="36">
        <f t="shared" si="52"/>
        <v>-9.6695824323426756</v>
      </c>
      <c r="R209" s="36">
        <f t="shared" si="52"/>
        <v>-16.823587439441869</v>
      </c>
      <c r="S209" s="36">
        <f t="shared" si="52"/>
        <v>-15.325638967211367</v>
      </c>
      <c r="T209" s="36">
        <f t="shared" si="52"/>
        <v>-9.6367588811567924</v>
      </c>
      <c r="U209" s="36"/>
      <c r="V209" s="37"/>
    </row>
    <row r="210" spans="9:24" x14ac:dyDescent="0.15">
      <c r="K210" s="5" t="s">
        <v>17</v>
      </c>
      <c r="L210" s="35">
        <f t="shared" ref="L210:T210" si="53">+(L180-L179)*100/L179</f>
        <v>-4.5388181391485514</v>
      </c>
      <c r="M210" s="36">
        <f t="shared" si="53"/>
        <v>2.3537414965986323</v>
      </c>
      <c r="N210" s="36">
        <f t="shared" si="53"/>
        <v>-10.029473522263965</v>
      </c>
      <c r="O210" s="36">
        <f t="shared" si="53"/>
        <v>-4.1185908686402124</v>
      </c>
      <c r="P210" s="36">
        <f t="shared" si="53"/>
        <v>-13.262586838576262</v>
      </c>
      <c r="Q210" s="36">
        <f t="shared" si="53"/>
        <v>-6.1433657716574457</v>
      </c>
      <c r="R210" s="36">
        <f t="shared" si="53"/>
        <v>-4.5332909005818207</v>
      </c>
      <c r="S210" s="36">
        <f t="shared" si="53"/>
        <v>-6.743245015408978</v>
      </c>
      <c r="T210" s="36">
        <f t="shared" si="53"/>
        <v>-0.7314328168002624</v>
      </c>
      <c r="U210" s="36"/>
      <c r="V210" s="37"/>
    </row>
    <row r="211" spans="9:24" x14ac:dyDescent="0.15">
      <c r="K211" s="5" t="s">
        <v>18</v>
      </c>
      <c r="L211" s="35">
        <f t="shared" ref="L211:T211" si="54">+(L181-L180)*100/L180</f>
        <v>-5.8192489321915648</v>
      </c>
      <c r="M211" s="36">
        <f t="shared" si="54"/>
        <v>-11.666840422574358</v>
      </c>
      <c r="N211" s="36">
        <f t="shared" si="54"/>
        <v>-3.0193313755144504</v>
      </c>
      <c r="O211" s="36">
        <f t="shared" si="54"/>
        <v>-5.5755093828369624</v>
      </c>
      <c r="P211" s="36">
        <f t="shared" si="54"/>
        <v>-7.6663516481709939</v>
      </c>
      <c r="Q211" s="36">
        <f t="shared" si="54"/>
        <v>-10.421971981753847</v>
      </c>
      <c r="R211" s="36">
        <f t="shared" si="54"/>
        <v>-9.9493240918176884</v>
      </c>
      <c r="S211" s="36">
        <f t="shared" si="54"/>
        <v>-8.6735022880704165</v>
      </c>
      <c r="T211" s="36">
        <f t="shared" si="54"/>
        <v>-3.6214600111248241</v>
      </c>
      <c r="U211" s="36"/>
      <c r="V211" s="37"/>
    </row>
    <row r="212" spans="9:24" x14ac:dyDescent="0.15">
      <c r="K212" s="6" t="s">
        <v>19</v>
      </c>
      <c r="L212" s="35">
        <f t="shared" ref="L212:S212" si="55">+(L182-L181)*100/L181</f>
        <v>-0.78015019522970253</v>
      </c>
      <c r="M212" s="36">
        <f t="shared" si="55"/>
        <v>-18.243102465600582</v>
      </c>
      <c r="N212" s="36">
        <f t="shared" si="55"/>
        <v>5.4997629390432881</v>
      </c>
      <c r="O212" s="36">
        <f t="shared" si="55"/>
        <v>-2.9326670878190519</v>
      </c>
      <c r="P212" s="36">
        <f t="shared" si="55"/>
        <v>-8.0886635282825647</v>
      </c>
      <c r="Q212" s="36">
        <f t="shared" si="55"/>
        <v>0.5916484012226334</v>
      </c>
      <c r="R212" s="36">
        <f t="shared" si="55"/>
        <v>-5.3456704103651909</v>
      </c>
      <c r="S212" s="36">
        <f t="shared" si="55"/>
        <v>-4.9485458267947244</v>
      </c>
      <c r="T212" s="36"/>
      <c r="U212" s="36"/>
      <c r="V212" s="37"/>
    </row>
    <row r="213" spans="9:24" x14ac:dyDescent="0.15">
      <c r="K213" s="6" t="s">
        <v>24</v>
      </c>
      <c r="L213" s="35">
        <f t="shared" ref="L213:S213" si="56">+(L183-L182)*100/L182</f>
        <v>-3.5258492278849864</v>
      </c>
      <c r="M213" s="36">
        <f t="shared" si="56"/>
        <v>22.302812949907665</v>
      </c>
      <c r="N213" s="36">
        <f t="shared" si="56"/>
        <v>-10.268889072120155</v>
      </c>
      <c r="O213" s="36">
        <f t="shared" si="56"/>
        <v>-2.9985413318581648</v>
      </c>
      <c r="P213" s="36">
        <f t="shared" si="56"/>
        <v>-4.4758111777320666</v>
      </c>
      <c r="Q213" s="36">
        <f t="shared" si="56"/>
        <v>-5.9358609884153237</v>
      </c>
      <c r="R213" s="36">
        <f t="shared" si="56"/>
        <v>-6.611214082175823</v>
      </c>
      <c r="S213" s="36">
        <f t="shared" si="56"/>
        <v>-3.8074704322314132</v>
      </c>
      <c r="T213" s="36"/>
      <c r="U213" s="36">
        <f t="shared" ref="U213:V219" si="57">+(U183-U182)*100/U182</f>
        <v>-7.1676105147261602</v>
      </c>
      <c r="V213" s="37">
        <f t="shared" si="57"/>
        <v>1.4666153364040206</v>
      </c>
    </row>
    <row r="214" spans="9:24" x14ac:dyDescent="0.15">
      <c r="K214" s="6" t="s">
        <v>28</v>
      </c>
      <c r="L214" s="35">
        <f t="shared" ref="L214:S214" si="58">+(L184-L183)*100/L183</f>
        <v>-1.0365615052345796</v>
      </c>
      <c r="M214" s="36">
        <f t="shared" si="58"/>
        <v>-4.3723140568923249</v>
      </c>
      <c r="N214" s="36">
        <f t="shared" si="58"/>
        <v>5.7809115533555282</v>
      </c>
      <c r="O214" s="36">
        <f t="shared" si="58"/>
        <v>1.8000023066678155</v>
      </c>
      <c r="P214" s="36">
        <f t="shared" si="58"/>
        <v>-1.4229595056151019</v>
      </c>
      <c r="Q214" s="36">
        <f t="shared" si="58"/>
        <v>-10.715476074961956</v>
      </c>
      <c r="R214" s="36">
        <f t="shared" si="58"/>
        <v>-5.6293562887453188</v>
      </c>
      <c r="S214" s="36">
        <f t="shared" si="58"/>
        <v>-9.9860609000355005</v>
      </c>
      <c r="T214" s="36"/>
      <c r="U214" s="36">
        <f t="shared" si="57"/>
        <v>-2.0583260976706073</v>
      </c>
      <c r="V214" s="37">
        <f t="shared" si="57"/>
        <v>-7.4018071785505182</v>
      </c>
    </row>
    <row r="215" spans="9:24" x14ac:dyDescent="0.15">
      <c r="K215" s="6" t="s">
        <v>30</v>
      </c>
      <c r="L215" s="45">
        <f t="shared" ref="L215:S219" si="59">+(L185-L184)*100/L184</f>
        <v>-7.427037170837437</v>
      </c>
      <c r="M215" s="46">
        <f t="shared" si="59"/>
        <v>-25.214353758979936</v>
      </c>
      <c r="N215" s="46">
        <f t="shared" si="59"/>
        <v>-14.16148124806195</v>
      </c>
      <c r="O215" s="46">
        <f t="shared" si="59"/>
        <v>-15.405438599717412</v>
      </c>
      <c r="P215" s="46">
        <f t="shared" si="59"/>
        <v>-9.6271283453159295</v>
      </c>
      <c r="Q215" s="46">
        <f t="shared" si="59"/>
        <v>-7.5924895446788652</v>
      </c>
      <c r="R215" s="46">
        <f t="shared" si="59"/>
        <v>-8.3236985483548374</v>
      </c>
      <c r="S215" s="46">
        <f t="shared" si="59"/>
        <v>-3.848333372019606</v>
      </c>
      <c r="T215" s="46"/>
      <c r="U215" s="46">
        <f t="shared" si="57"/>
        <v>-3.4452049058134135</v>
      </c>
      <c r="V215" s="47">
        <f t="shared" si="57"/>
        <v>-1.2439890922372896</v>
      </c>
    </row>
    <row r="216" spans="9:24" x14ac:dyDescent="0.15">
      <c r="K216" s="6" t="s">
        <v>32</v>
      </c>
      <c r="L216" s="45">
        <f t="shared" si="59"/>
        <v>-2.7455528996799829</v>
      </c>
      <c r="M216" s="46">
        <f t="shared" si="59"/>
        <v>0.33676686026450114</v>
      </c>
      <c r="N216" s="46">
        <f t="shared" si="59"/>
        <v>-2.7424104905439708</v>
      </c>
      <c r="O216" s="46">
        <f t="shared" si="59"/>
        <v>-1.0028822309136096</v>
      </c>
      <c r="P216" s="46">
        <f t="shared" si="59"/>
        <v>-3.9852395354339842</v>
      </c>
      <c r="Q216" s="46">
        <f t="shared" si="59"/>
        <v>-7.601410531788372</v>
      </c>
      <c r="R216" s="46">
        <f t="shared" si="59"/>
        <v>-7.3969710228387244</v>
      </c>
      <c r="S216" s="46">
        <f t="shared" si="59"/>
        <v>-8.4193908384305924</v>
      </c>
      <c r="T216" s="46"/>
      <c r="U216" s="46">
        <f t="shared" si="57"/>
        <v>1.593431364861402</v>
      </c>
      <c r="V216" s="47">
        <f t="shared" si="57"/>
        <v>-7.2269347058224804</v>
      </c>
    </row>
    <row r="217" spans="9:24" x14ac:dyDescent="0.15">
      <c r="K217" s="6" t="s">
        <v>49</v>
      </c>
      <c r="L217" s="45">
        <f t="shared" si="59"/>
        <v>-3.8117133447013423</v>
      </c>
      <c r="M217" s="46">
        <f t="shared" si="59"/>
        <v>7.945396175717053</v>
      </c>
      <c r="N217" s="46">
        <f t="shared" si="59"/>
        <v>-14.688152124311099</v>
      </c>
      <c r="O217" s="46">
        <f t="shared" si="59"/>
        <v>-6.238726561800144</v>
      </c>
      <c r="P217" s="46">
        <f t="shared" si="59"/>
        <v>-7.2279794761824192</v>
      </c>
      <c r="Q217" s="46">
        <f t="shared" si="59"/>
        <v>0.21691092463950917</v>
      </c>
      <c r="R217" s="46">
        <f t="shared" si="59"/>
        <v>-8.7744732869211504</v>
      </c>
      <c r="S217" s="46">
        <f t="shared" si="59"/>
        <v>-4.2905685480021329</v>
      </c>
      <c r="T217" s="46"/>
      <c r="U217" s="46">
        <f t="shared" si="57"/>
        <v>-6.8151915359880268</v>
      </c>
      <c r="V217" s="47">
        <f t="shared" si="57"/>
        <v>3.0022077281255095</v>
      </c>
    </row>
    <row r="218" spans="9:24" x14ac:dyDescent="0.15">
      <c r="K218" s="6" t="s">
        <v>51</v>
      </c>
      <c r="L218" s="45">
        <f t="shared" si="59"/>
        <v>-1.224972916453607</v>
      </c>
      <c r="M218" s="46">
        <f t="shared" si="59"/>
        <v>-11.629802454291999</v>
      </c>
      <c r="N218" s="46">
        <f t="shared" si="59"/>
        <v>10.857666012653853</v>
      </c>
      <c r="O218" s="46">
        <f t="shared" si="59"/>
        <v>-2.6433417715192191</v>
      </c>
      <c r="P218" s="46">
        <f t="shared" si="59"/>
        <v>-1.6161998217142284</v>
      </c>
      <c r="Q218" s="46">
        <f t="shared" si="59"/>
        <v>-11.946827623020562</v>
      </c>
      <c r="R218" s="46">
        <f t="shared" si="59"/>
        <v>-2.480128131713272</v>
      </c>
      <c r="S218" s="46">
        <f t="shared" si="59"/>
        <v>-10.211537336191904</v>
      </c>
      <c r="T218" s="46"/>
      <c r="U218" s="46">
        <f t="shared" si="57"/>
        <v>0.79081401847960131</v>
      </c>
      <c r="V218" s="47">
        <f t="shared" si="57"/>
        <v>13.212187482008055</v>
      </c>
    </row>
    <row r="219" spans="9:24" ht="14.25" thickBot="1" x14ac:dyDescent="0.2">
      <c r="K219" s="6" t="s">
        <v>53</v>
      </c>
      <c r="L219" s="48">
        <f t="shared" si="59"/>
        <v>-7.1781430917093925</v>
      </c>
      <c r="M219" s="49">
        <f t="shared" si="59"/>
        <v>26.333487130885874</v>
      </c>
      <c r="N219" s="49">
        <f t="shared" si="59"/>
        <v>-24.180807877368423</v>
      </c>
      <c r="O219" s="49">
        <f t="shared" si="59"/>
        <v>-10.656502972198915</v>
      </c>
      <c r="P219" s="49">
        <f t="shared" si="59"/>
        <v>-15.610778661504582</v>
      </c>
      <c r="Q219" s="49">
        <f t="shared" si="59"/>
        <v>-12.556282696887788</v>
      </c>
      <c r="R219" s="49">
        <f t="shared" si="59"/>
        <v>-6.5327003677971742</v>
      </c>
      <c r="S219" s="49">
        <f t="shared" si="59"/>
        <v>-2.2593356994939668</v>
      </c>
      <c r="T219" s="49"/>
      <c r="U219" s="49">
        <f t="shared" si="57"/>
        <v>-5.3982224576094424</v>
      </c>
      <c r="V219" s="50">
        <f t="shared" si="57"/>
        <v>-8.7910229856472029</v>
      </c>
    </row>
    <row r="220" spans="9:24" x14ac:dyDescent="0.15">
      <c r="I220" t="s">
        <v>54</v>
      </c>
      <c r="K220" s="5" t="s">
        <v>50</v>
      </c>
      <c r="L220" s="36">
        <f>AVERAGE(L215:L219)</f>
        <v>-4.4774838846763521</v>
      </c>
      <c r="M220" s="36">
        <f t="shared" ref="M220:V220" si="60">AVERAGE(M215:M219)</f>
        <v>-0.44570120928090162</v>
      </c>
      <c r="N220" s="36">
        <f t="shared" si="60"/>
        <v>-8.9830371455263176</v>
      </c>
      <c r="O220" s="36">
        <f t="shared" si="60"/>
        <v>-7.1893784272298591</v>
      </c>
      <c r="P220" s="36">
        <f t="shared" si="60"/>
        <v>-7.6134651680302285</v>
      </c>
      <c r="Q220" s="36">
        <f t="shared" si="60"/>
        <v>-7.8960198943472166</v>
      </c>
      <c r="R220" s="36">
        <f t="shared" si="60"/>
        <v>-6.7015942715250318</v>
      </c>
      <c r="S220" s="36">
        <f t="shared" si="60"/>
        <v>-5.8058331588276406</v>
      </c>
      <c r="T220" s="36"/>
      <c r="U220" s="36">
        <f t="shared" si="60"/>
        <v>-2.6548747032139759</v>
      </c>
      <c r="V220" s="36">
        <f t="shared" si="60"/>
        <v>-0.20951031471468173</v>
      </c>
      <c r="W220" s="36"/>
      <c r="X220" s="36"/>
    </row>
    <row r="222" spans="9:24" x14ac:dyDescent="0.15">
      <c r="L222" t="s">
        <v>38</v>
      </c>
      <c r="M222" t="s">
        <v>39</v>
      </c>
      <c r="N222" t="s">
        <v>40</v>
      </c>
      <c r="O222" t="s">
        <v>41</v>
      </c>
      <c r="P222" t="s">
        <v>42</v>
      </c>
      <c r="Q222" t="s">
        <v>43</v>
      </c>
      <c r="R222" t="s">
        <v>44</v>
      </c>
      <c r="S222" t="s">
        <v>45</v>
      </c>
      <c r="T222" t="s">
        <v>46</v>
      </c>
      <c r="U222" t="s">
        <v>47</v>
      </c>
      <c r="V222" t="s">
        <v>48</v>
      </c>
    </row>
    <row r="223" spans="9:24" x14ac:dyDescent="0.15">
      <c r="K223" s="4">
        <v>2009</v>
      </c>
      <c r="L223" s="4">
        <v>9019</v>
      </c>
      <c r="M223" s="4">
        <v>7</v>
      </c>
      <c r="N223" s="4">
        <v>60</v>
      </c>
      <c r="O223" s="4">
        <f>166+223</f>
        <v>389</v>
      </c>
      <c r="P223" s="4">
        <f>282+314</f>
        <v>596</v>
      </c>
      <c r="Q223" s="4">
        <f>303+313</f>
        <v>616</v>
      </c>
      <c r="R223" s="4">
        <f>365+494</f>
        <v>859</v>
      </c>
      <c r="S223" s="4">
        <f>709+680</f>
        <v>1389</v>
      </c>
      <c r="T223" s="4">
        <f>794+1200</f>
        <v>1994</v>
      </c>
      <c r="U223" s="4">
        <f>1397+1124</f>
        <v>2521</v>
      </c>
      <c r="V223" s="4">
        <v>588</v>
      </c>
    </row>
    <row r="224" spans="9:24" x14ac:dyDescent="0.15">
      <c r="L224" s="36">
        <v>100</v>
      </c>
      <c r="M224" s="36">
        <f>+M223*100/$L223</f>
        <v>7.7613926155893118E-2</v>
      </c>
      <c r="N224" s="36">
        <f t="shared" ref="N224:V224" si="61">+N223*100/$L223</f>
        <v>0.66526222419336956</v>
      </c>
      <c r="O224" s="36">
        <f>+O223*100/$L223</f>
        <v>4.3131167535203456</v>
      </c>
      <c r="P224" s="36">
        <f t="shared" si="61"/>
        <v>6.6082714269874705</v>
      </c>
      <c r="Q224" s="36">
        <f t="shared" si="61"/>
        <v>6.8300255017185938</v>
      </c>
      <c r="R224" s="36">
        <f t="shared" si="61"/>
        <v>9.5243375097017413</v>
      </c>
      <c r="S224" s="36">
        <f t="shared" si="61"/>
        <v>15.400820490076505</v>
      </c>
      <c r="T224" s="36">
        <f t="shared" si="61"/>
        <v>22.108881250692981</v>
      </c>
      <c r="U224" s="36">
        <f t="shared" si="61"/>
        <v>27.952101119858078</v>
      </c>
      <c r="V224" s="36">
        <f t="shared" si="61"/>
        <v>6.5195697970950217</v>
      </c>
    </row>
    <row r="225" spans="14:22" x14ac:dyDescent="0.15">
      <c r="N225" s="36">
        <f>+M224+N224</f>
        <v>0.74287615034926269</v>
      </c>
      <c r="O225" s="36">
        <f>+N225+O224</f>
        <v>5.0559929038696083</v>
      </c>
      <c r="P225" s="36">
        <f t="shared" ref="P225:V225" si="62">+O225+P224</f>
        <v>11.66426433085708</v>
      </c>
      <c r="Q225" s="36">
        <f t="shared" si="62"/>
        <v>18.494289832575674</v>
      </c>
      <c r="R225" s="36">
        <f t="shared" si="62"/>
        <v>28.018627342277416</v>
      </c>
      <c r="S225" s="36">
        <f t="shared" si="62"/>
        <v>43.419447832353924</v>
      </c>
      <c r="T225" s="36">
        <f>+S225+T224</f>
        <v>65.528329083046913</v>
      </c>
      <c r="U225" s="36">
        <f t="shared" si="62"/>
        <v>93.480430202904984</v>
      </c>
      <c r="V225" s="36">
        <f t="shared" si="62"/>
        <v>100</v>
      </c>
    </row>
    <row r="227" spans="14:22" x14ac:dyDescent="0.15">
      <c r="T227" s="43" t="s">
        <v>52</v>
      </c>
    </row>
    <row r="228" spans="14:22" x14ac:dyDescent="0.15">
      <c r="T228" s="44">
        <f>70+10*(50-S225)/(T225-S225)</f>
        <v>72.976429287863581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6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4"/>
    <pageSetUpPr fitToPage="1"/>
  </sheetPr>
  <dimension ref="B8:O61"/>
  <sheetViews>
    <sheetView showGridLines="0" tabSelected="1" view="pageBreakPreview" topLeftCell="A9" zoomScale="115" zoomScaleNormal="90" zoomScaleSheetLayoutView="115" workbookViewId="0">
      <selection activeCell="O55" sqref="O55"/>
    </sheetView>
  </sheetViews>
  <sheetFormatPr defaultRowHeight="13.5" x14ac:dyDescent="0.15"/>
  <sheetData>
    <row r="8" spans="2:15" x14ac:dyDescent="0.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x14ac:dyDescent="0.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2:15" x14ac:dyDescent="0.1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x14ac:dyDescent="0.1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x14ac:dyDescent="0.1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5" x14ac:dyDescent="0.1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x14ac:dyDescent="0.1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x14ac:dyDescent="0.1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x14ac:dyDescent="0.1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x14ac:dyDescent="0.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x14ac:dyDescent="0.1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2:15" x14ac:dyDescent="0.1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15" x14ac:dyDescent="0.1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5" x14ac:dyDescent="0.1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x14ac:dyDescent="0.1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x14ac:dyDescent="0.1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5" x14ac:dyDescent="0.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5" x14ac:dyDescent="0.1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2:15" x14ac:dyDescent="0.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x14ac:dyDescent="0.1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x14ac:dyDescent="0.1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x14ac:dyDescent="0.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x14ac:dyDescent="0.1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2:15" x14ac:dyDescent="0.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x14ac:dyDescent="0.1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x14ac:dyDescent="0.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 x14ac:dyDescent="0.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 x14ac:dyDescent="0.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5" x14ac:dyDescent="0.1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x14ac:dyDescent="0.1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15" x14ac:dyDescent="0.1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2:15" x14ac:dyDescent="0.1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x14ac:dyDescent="0.1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x14ac:dyDescent="0.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2:15" x14ac:dyDescent="0.1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x14ac:dyDescent="0.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x14ac:dyDescent="0.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15" x14ac:dyDescent="0.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x14ac:dyDescent="0.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5" x14ac:dyDescent="0.1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x14ac:dyDescent="0.1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x14ac:dyDescent="0.1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x14ac:dyDescent="0.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x14ac:dyDescent="0.1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x14ac:dyDescent="0.1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x14ac:dyDescent="0.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x14ac:dyDescent="0.1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x14ac:dyDescent="0.1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ht="14.25" x14ac:dyDescent="0.2">
      <c r="B56" s="31"/>
      <c r="C56" s="75" t="s">
        <v>56</v>
      </c>
      <c r="D56" s="31"/>
      <c r="E56" s="31"/>
      <c r="F56" s="31"/>
      <c r="G56" s="31"/>
      <c r="H56" s="31"/>
      <c r="I56" s="31"/>
      <c r="J56" s="77" t="s">
        <v>61</v>
      </c>
      <c r="K56" s="31"/>
      <c r="L56" s="31"/>
      <c r="M56" s="31"/>
      <c r="N56" s="31"/>
      <c r="O56" s="31"/>
    </row>
    <row r="57" spans="2:15" ht="14.25" x14ac:dyDescent="0.2">
      <c r="B57" s="31"/>
      <c r="C57" s="75" t="s">
        <v>57</v>
      </c>
      <c r="D57" s="32"/>
      <c r="E57" s="32"/>
      <c r="F57" s="32"/>
      <c r="G57" s="32"/>
      <c r="H57" s="32"/>
      <c r="I57" s="32"/>
      <c r="J57" s="78" t="s">
        <v>62</v>
      </c>
      <c r="K57" s="31"/>
      <c r="L57" s="31"/>
      <c r="M57" s="31"/>
      <c r="N57" s="31"/>
      <c r="O57" s="31"/>
    </row>
    <row r="58" spans="2:15" ht="14.25" x14ac:dyDescent="0.2">
      <c r="B58" s="31"/>
      <c r="C58" s="75" t="s">
        <v>58</v>
      </c>
      <c r="D58" s="32"/>
      <c r="E58" s="32"/>
      <c r="F58" s="32"/>
      <c r="G58" s="31"/>
      <c r="H58" s="32"/>
      <c r="I58" s="32"/>
      <c r="J58" s="78" t="s">
        <v>63</v>
      </c>
      <c r="K58" s="31"/>
      <c r="L58" s="31"/>
      <c r="M58" s="31"/>
      <c r="N58" s="31"/>
      <c r="O58" s="31"/>
    </row>
    <row r="59" spans="2:15" ht="14.25" x14ac:dyDescent="0.2">
      <c r="B59" s="31"/>
      <c r="C59" s="75" t="s">
        <v>59</v>
      </c>
      <c r="D59" s="32"/>
      <c r="E59" s="32"/>
      <c r="F59" s="32"/>
      <c r="G59" s="32"/>
      <c r="H59" s="31"/>
      <c r="I59" s="32"/>
      <c r="J59" s="78" t="s">
        <v>64</v>
      </c>
      <c r="K59" s="31"/>
      <c r="L59" s="31"/>
      <c r="M59" s="31"/>
      <c r="N59" s="31"/>
      <c r="O59" s="31"/>
    </row>
    <row r="60" spans="2:15" ht="14.25" x14ac:dyDescent="0.2">
      <c r="B60" s="31"/>
      <c r="C60" s="75" t="s">
        <v>65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ht="14.25" x14ac:dyDescent="0.2">
      <c r="C61" s="76" t="s">
        <v>60</v>
      </c>
    </row>
  </sheetData>
  <phoneticPr fontId="2"/>
  <pageMargins left="0.2" right="0.19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Notification</vt:lpstr>
      <vt:lpstr>Smear+</vt:lpstr>
      <vt:lpstr>Figure(E)</vt:lpstr>
      <vt:lpstr>'Figure(E)'!Print_Area</vt:lpstr>
      <vt:lpstr>Notification!Print_Area</vt:lpstr>
      <vt:lpstr>'Smear+'!Print_Area</vt:lpstr>
    </vt:vector>
  </TitlesOfParts>
  <Company>ＲＩＴ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ＲＩＴ</dc:creator>
  <cp:lastModifiedBy>TSC</cp:lastModifiedBy>
  <cp:lastPrinted>2016-06-15T23:50:38Z</cp:lastPrinted>
  <dcterms:created xsi:type="dcterms:W3CDTF">2003-07-07T08:02:19Z</dcterms:created>
  <dcterms:modified xsi:type="dcterms:W3CDTF">2023-08-31T04:28:24Z</dcterms:modified>
</cp:coreProperties>
</file>