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2年報関係\年報（属性別）\"/>
    </mc:Choice>
  </mc:AlternateContent>
  <xr:revisionPtr revIDLastSave="0" documentId="13_ncr:1_{D088B612-0BA9-479F-8A52-E12DFB7372E8}" xr6:coauthVersionLast="47" xr6:coauthVersionMax="47" xr10:uidLastSave="{00000000-0000-0000-0000-000000000000}"/>
  <bookViews>
    <workbookView xWindow="1440" yWindow="1575" windowWidth="27240" windowHeight="13620" xr2:uid="{00000000-000D-0000-FFFF-FFFF00000000}"/>
  </bookViews>
  <sheets>
    <sheet name="都道府県市別死亡数" sheetId="1" r:id="rId1"/>
    <sheet name="都道府県市別死亡率" sheetId="2" r:id="rId2"/>
    <sheet name="死亡第5.12表 死因年次推移分類1899-1954" sheetId="3" r:id="rId3"/>
  </sheets>
  <definedNames>
    <definedName name="_xlnm.Print_Area" localSheetId="0">都道府県市別死亡数!$A$1:$BD$77</definedName>
    <definedName name="_xlnm.Print_Area" localSheetId="1">都道府県市別死亡率!$A$1:$BD$77</definedName>
    <definedName name="_xlnm.Print_Titles" localSheetId="0">都道府県市別死亡数!$A:$A</definedName>
    <definedName name="_xlnm.Print_Titles" localSheetId="1">都道府県市別死亡率!$A:$A</definedName>
  </definedNames>
  <calcPr calcId="181029"/>
</workbook>
</file>

<file path=xl/calcChain.xml><?xml version="1.0" encoding="utf-8"?>
<calcChain xmlns="http://schemas.openxmlformats.org/spreadsheetml/2006/main">
  <c r="BL2" i="1" l="1"/>
  <c r="H76" i="1"/>
  <c r="H70" i="1"/>
  <c r="H68" i="1"/>
  <c r="H67" i="1"/>
  <c r="H66" i="1"/>
  <c r="H60" i="1"/>
  <c r="H53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" i="1"/>
  <c r="I76" i="1"/>
  <c r="I70" i="1"/>
  <c r="I68" i="1"/>
  <c r="I67" i="1"/>
  <c r="I66" i="1"/>
  <c r="I60" i="1"/>
  <c r="I53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" i="1"/>
  <c r="J76" i="1"/>
  <c r="J73" i="1"/>
  <c r="J70" i="1"/>
  <c r="J68" i="1"/>
  <c r="J66" i="1"/>
  <c r="J60" i="1"/>
  <c r="J53" i="1"/>
  <c r="J49" i="1"/>
  <c r="J48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2" i="1"/>
  <c r="K76" i="1"/>
  <c r="K73" i="1"/>
  <c r="K70" i="1"/>
  <c r="K68" i="1"/>
  <c r="K67" i="1"/>
  <c r="K66" i="1"/>
  <c r="K60" i="1"/>
  <c r="K53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L20" i="1"/>
  <c r="L19" i="1"/>
  <c r="L18" i="1"/>
  <c r="L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2" i="1"/>
  <c r="L76" i="1"/>
  <c r="L73" i="1"/>
  <c r="L70" i="1"/>
  <c r="L68" i="1"/>
  <c r="L67" i="1"/>
  <c r="L66" i="1"/>
  <c r="L60" i="1"/>
  <c r="L53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" i="1"/>
  <c r="M76" i="1"/>
  <c r="M73" i="1"/>
  <c r="M70" i="1"/>
  <c r="M68" i="1"/>
  <c r="M67" i="1"/>
  <c r="M66" i="1"/>
  <c r="M60" i="1"/>
  <c r="M53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2" i="1"/>
  <c r="N76" i="1"/>
  <c r="N73" i="1"/>
  <c r="N70" i="1"/>
  <c r="N68" i="1"/>
  <c r="N67" i="1"/>
  <c r="N66" i="1"/>
  <c r="N60" i="1"/>
  <c r="N53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" i="1"/>
  <c r="O76" i="1"/>
  <c r="O73" i="1"/>
  <c r="O68" i="1"/>
  <c r="O67" i="1"/>
  <c r="O66" i="1"/>
  <c r="O60" i="1"/>
  <c r="O53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2" i="1"/>
  <c r="P76" i="1"/>
  <c r="P73" i="1"/>
  <c r="P70" i="1"/>
  <c r="P68" i="1"/>
  <c r="P67" i="1"/>
  <c r="P66" i="1"/>
  <c r="P60" i="1"/>
  <c r="P53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8" i="1"/>
  <c r="P17" i="1"/>
  <c r="P16" i="1"/>
  <c r="P15" i="1"/>
  <c r="P13" i="1"/>
  <c r="P12" i="1"/>
  <c r="P11" i="1"/>
  <c r="P10" i="1"/>
  <c r="P9" i="1"/>
  <c r="P8" i="1"/>
  <c r="P7" i="1"/>
  <c r="P6" i="1"/>
  <c r="P5" i="1"/>
  <c r="P4" i="1"/>
  <c r="P2" i="1"/>
  <c r="Q76" i="1"/>
  <c r="Q73" i="1"/>
  <c r="Q70" i="1"/>
  <c r="Q68" i="1"/>
  <c r="Q67" i="1"/>
  <c r="Q66" i="1"/>
  <c r="Q60" i="1"/>
  <c r="Q53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2" i="1"/>
  <c r="R76" i="1"/>
  <c r="R73" i="1"/>
  <c r="R70" i="1"/>
  <c r="R68" i="1"/>
  <c r="R67" i="1"/>
  <c r="R66" i="1"/>
  <c r="R6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2" i="1"/>
  <c r="S76" i="1"/>
  <c r="S73" i="1"/>
  <c r="S70" i="1"/>
  <c r="S68" i="1"/>
  <c r="S67" i="1"/>
  <c r="S66" i="1"/>
  <c r="S60" i="1"/>
  <c r="S53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2" i="1"/>
  <c r="T76" i="1"/>
  <c r="T74" i="1"/>
  <c r="T73" i="1"/>
  <c r="T70" i="1"/>
  <c r="T68" i="1"/>
  <c r="T67" i="1"/>
  <c r="T66" i="1"/>
  <c r="T60" i="1"/>
  <c r="T56" i="1"/>
  <c r="T53" i="1"/>
  <c r="T50" i="1"/>
  <c r="T49" i="1"/>
  <c r="T48" i="1"/>
  <c r="T39" i="1"/>
  <c r="T43" i="1"/>
  <c r="T44" i="1"/>
  <c r="T45" i="1"/>
  <c r="T47" i="1"/>
  <c r="T46" i="1"/>
  <c r="T42" i="1"/>
  <c r="T41" i="1"/>
  <c r="T40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2" i="1"/>
  <c r="U76" i="1"/>
  <c r="U74" i="1"/>
  <c r="U73" i="1"/>
  <c r="U70" i="1"/>
  <c r="U68" i="1"/>
  <c r="U67" i="1"/>
  <c r="U66" i="1"/>
  <c r="U61" i="1"/>
  <c r="U60" i="1"/>
  <c r="U56" i="1"/>
  <c r="U53" i="1"/>
  <c r="U46" i="1"/>
  <c r="U50" i="1"/>
  <c r="U49" i="1"/>
  <c r="U48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2" i="1"/>
  <c r="Y34" i="1"/>
  <c r="V76" i="1"/>
  <c r="V74" i="1"/>
  <c r="V73" i="1"/>
  <c r="V70" i="1"/>
  <c r="V68" i="1"/>
  <c r="V67" i="1"/>
  <c r="V66" i="1"/>
  <c r="V61" i="1"/>
  <c r="V60" i="1"/>
  <c r="V56" i="1"/>
  <c r="V53" i="1"/>
  <c r="V50" i="1"/>
  <c r="V49" i="1"/>
  <c r="V48" i="1"/>
  <c r="V47" i="1"/>
  <c r="V42" i="1"/>
  <c r="V41" i="1"/>
  <c r="V40" i="1"/>
  <c r="V39" i="1"/>
  <c r="V38" i="1"/>
  <c r="V37" i="1"/>
  <c r="V36" i="1"/>
  <c r="V35" i="1"/>
  <c r="V34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2" i="1"/>
  <c r="W76" i="1"/>
  <c r="W74" i="1"/>
  <c r="W73" i="1"/>
  <c r="W70" i="1"/>
  <c r="W68" i="1"/>
  <c r="W67" i="1"/>
  <c r="W66" i="1"/>
  <c r="W61" i="1"/>
  <c r="W60" i="1"/>
  <c r="W56" i="1"/>
  <c r="W53" i="1"/>
  <c r="W50" i="1"/>
  <c r="W49" i="1"/>
  <c r="W48" i="1"/>
  <c r="W47" i="1"/>
  <c r="W46" i="1"/>
  <c r="W45" i="1"/>
  <c r="W44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2" i="1"/>
  <c r="X76" i="1"/>
  <c r="X74" i="1"/>
  <c r="X73" i="1"/>
  <c r="X70" i="1"/>
  <c r="X68" i="1"/>
  <c r="X67" i="1"/>
  <c r="X66" i="1"/>
  <c r="X60" i="1"/>
  <c r="X56" i="1"/>
  <c r="X53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2" i="1"/>
  <c r="Y76" i="1"/>
  <c r="Y74" i="1"/>
  <c r="Y73" i="1"/>
  <c r="Y70" i="1"/>
  <c r="Y68" i="1"/>
  <c r="Y67" i="1"/>
  <c r="Y66" i="1"/>
  <c r="Y61" i="1"/>
  <c r="Y60" i="1"/>
  <c r="Y56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2" i="1"/>
  <c r="Z76" i="1"/>
  <c r="Z74" i="1"/>
  <c r="Z73" i="1"/>
  <c r="Z70" i="1"/>
  <c r="Z68" i="1"/>
  <c r="Z67" i="1"/>
  <c r="Z66" i="1"/>
  <c r="Z61" i="1"/>
  <c r="Z60" i="1"/>
  <c r="Z56" i="1"/>
  <c r="Z53" i="1"/>
  <c r="Z50" i="1"/>
  <c r="Z49" i="1"/>
  <c r="Z48" i="1"/>
  <c r="Z47" i="1"/>
  <c r="Z46" i="1"/>
  <c r="Z45" i="1"/>
  <c r="Z44" i="1"/>
  <c r="Z43" i="1"/>
  <c r="Z42" i="1"/>
  <c r="Z41" i="1"/>
  <c r="Z40" i="1"/>
  <c r="Z39" i="1"/>
  <c r="Z37" i="1"/>
  <c r="Z38" i="1"/>
  <c r="Z36" i="1"/>
  <c r="Z33" i="1"/>
  <c r="Z32" i="1"/>
  <c r="Z31" i="1"/>
  <c r="Z30" i="1"/>
  <c r="Z29" i="1"/>
  <c r="Z28" i="1"/>
  <c r="Z27" i="1"/>
  <c r="Z26" i="1"/>
  <c r="Z25" i="1"/>
  <c r="Z24" i="1"/>
  <c r="Z23" i="1"/>
  <c r="Z21" i="1"/>
  <c r="Z20" i="1"/>
  <c r="Z19" i="1"/>
  <c r="Z18" i="1"/>
  <c r="Z17" i="1"/>
  <c r="Z16" i="1"/>
  <c r="Z15" i="1"/>
  <c r="Z14" i="1"/>
  <c r="Z13" i="1"/>
  <c r="Z12" i="1"/>
  <c r="Z11" i="1"/>
  <c r="Z10" i="1"/>
  <c r="Z8" i="1"/>
  <c r="Z7" i="1"/>
  <c r="Z6" i="1"/>
  <c r="Z5" i="1"/>
  <c r="Z4" i="1"/>
  <c r="Z2" i="1"/>
  <c r="AA76" i="1"/>
  <c r="AA74" i="1"/>
  <c r="AA73" i="1"/>
  <c r="AA70" i="1"/>
  <c r="AA68" i="1"/>
  <c r="AA67" i="1"/>
  <c r="AA66" i="1"/>
  <c r="AA61" i="1"/>
  <c r="AA60" i="1"/>
  <c r="AA56" i="1"/>
  <c r="AA53" i="1"/>
  <c r="AA50" i="1"/>
  <c r="AA49" i="1"/>
  <c r="AA48" i="1"/>
  <c r="AA47" i="1"/>
  <c r="AA46" i="1"/>
  <c r="AA45" i="1"/>
  <c r="AA43" i="1"/>
  <c r="AA42" i="1"/>
  <c r="AA41" i="1"/>
  <c r="AA40" i="1"/>
  <c r="AA39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5" i="1"/>
  <c r="AA4" i="1"/>
  <c r="AA2" i="1"/>
  <c r="AB76" i="1"/>
  <c r="AB74" i="1"/>
  <c r="AB73" i="1"/>
  <c r="AB70" i="1"/>
  <c r="AB68" i="1"/>
  <c r="AB67" i="1"/>
  <c r="AB66" i="1"/>
  <c r="AB61" i="1"/>
  <c r="AB60" i="1"/>
  <c r="AB56" i="1"/>
  <c r="AB53" i="1"/>
  <c r="AB50" i="1"/>
  <c r="AB49" i="1"/>
  <c r="AB47" i="1"/>
  <c r="AB46" i="1"/>
  <c r="AB45" i="1"/>
  <c r="AB44" i="1"/>
  <c r="AB43" i="1"/>
  <c r="AB41" i="1"/>
  <c r="AB40" i="1"/>
  <c r="AB39" i="1"/>
  <c r="AB38" i="1"/>
  <c r="AB37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8" i="1"/>
  <c r="AB7" i="1"/>
  <c r="AB6" i="1"/>
  <c r="AB5" i="1"/>
  <c r="AB4" i="1"/>
  <c r="AB2" i="1"/>
  <c r="AC76" i="1"/>
  <c r="AC74" i="1"/>
  <c r="AC73" i="1"/>
  <c r="AC72" i="1"/>
  <c r="AC70" i="1"/>
  <c r="AC68" i="1"/>
  <c r="AC67" i="1"/>
  <c r="AC66" i="1"/>
  <c r="AC61" i="1"/>
  <c r="AC60" i="1"/>
  <c r="AC56" i="1"/>
  <c r="AC53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8" i="1"/>
  <c r="AC7" i="1"/>
  <c r="AC6" i="1"/>
  <c r="AC5" i="1"/>
  <c r="AC4" i="1"/>
  <c r="AC2" i="1"/>
  <c r="AD76" i="1"/>
  <c r="AD74" i="1"/>
  <c r="AD73" i="1"/>
  <c r="AD72" i="1"/>
  <c r="AD70" i="1"/>
  <c r="AD68" i="1"/>
  <c r="AD67" i="1"/>
  <c r="AD66" i="1"/>
  <c r="AD61" i="1"/>
  <c r="AD60" i="1"/>
  <c r="AD56" i="1"/>
  <c r="AD50" i="1"/>
  <c r="AD49" i="1"/>
  <c r="AD48" i="1"/>
  <c r="AD47" i="1"/>
  <c r="AD45" i="1"/>
  <c r="AD44" i="1"/>
  <c r="AD43" i="1"/>
  <c r="AD42" i="1"/>
  <c r="AD41" i="1"/>
  <c r="AD40" i="1"/>
  <c r="AD38" i="1"/>
  <c r="AD37" i="1"/>
  <c r="AD36" i="1"/>
  <c r="AD35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2" i="1"/>
  <c r="AE76" i="1"/>
  <c r="AE74" i="1"/>
  <c r="AE73" i="1"/>
  <c r="AE72" i="1"/>
  <c r="AE70" i="1"/>
  <c r="AE68" i="1"/>
  <c r="AE67" i="1"/>
  <c r="AE66" i="1"/>
  <c r="AE61" i="1"/>
  <c r="AE60" i="1"/>
  <c r="AE56" i="1"/>
  <c r="AE53" i="1"/>
  <c r="AE50" i="1"/>
  <c r="AE49" i="1"/>
  <c r="AE48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3" i="1"/>
  <c r="AE32" i="1"/>
  <c r="AE31" i="1"/>
  <c r="AE30" i="1"/>
  <c r="AE29" i="1"/>
  <c r="AE28" i="1"/>
  <c r="AE27" i="1"/>
  <c r="AE26" i="1"/>
  <c r="AE25" i="1"/>
  <c r="AE24" i="1"/>
  <c r="AE23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2" i="1"/>
  <c r="AF76" i="1"/>
  <c r="AF73" i="1"/>
  <c r="AF72" i="1"/>
  <c r="AF70" i="1"/>
  <c r="AF68" i="1"/>
  <c r="AF67" i="1"/>
  <c r="AF66" i="1"/>
  <c r="AF61" i="1"/>
  <c r="AF60" i="1"/>
  <c r="AF56" i="1"/>
  <c r="AF53" i="1"/>
  <c r="AF50" i="1"/>
  <c r="AF49" i="1"/>
  <c r="AF48" i="1"/>
  <c r="AF47" i="1"/>
  <c r="AF46" i="1"/>
  <c r="AF45" i="1"/>
  <c r="AF44" i="1"/>
  <c r="AF42" i="1"/>
  <c r="AF41" i="1"/>
  <c r="AF40" i="1"/>
  <c r="AF39" i="1"/>
  <c r="AF38" i="1"/>
  <c r="AF37" i="1"/>
  <c r="AF36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0" i="1"/>
  <c r="AF19" i="1"/>
  <c r="AF18" i="1"/>
  <c r="AF17" i="1"/>
  <c r="AF16" i="1"/>
  <c r="AF15" i="1"/>
  <c r="AF14" i="1"/>
  <c r="AF13" i="1"/>
  <c r="AF12" i="1"/>
  <c r="AF11" i="1"/>
  <c r="AF9" i="1"/>
  <c r="AF7" i="1"/>
  <c r="AF6" i="1"/>
  <c r="AF5" i="1"/>
  <c r="AF4" i="1"/>
  <c r="AF2" i="1"/>
  <c r="AG76" i="1"/>
  <c r="AG68" i="1"/>
  <c r="AG67" i="1"/>
  <c r="AG66" i="1"/>
  <c r="AG61" i="1"/>
  <c r="AG60" i="1"/>
  <c r="AG56" i="1"/>
  <c r="AG50" i="1"/>
  <c r="AG49" i="1"/>
  <c r="AG48" i="1"/>
  <c r="AG46" i="1"/>
  <c r="AG45" i="1"/>
  <c r="AG43" i="1"/>
  <c r="AG42" i="1"/>
  <c r="AG41" i="1"/>
  <c r="AG40" i="1"/>
  <c r="AG38" i="1"/>
  <c r="AG37" i="1"/>
  <c r="AG36" i="1"/>
  <c r="AG34" i="1"/>
  <c r="AG33" i="1"/>
  <c r="AG32" i="1"/>
  <c r="AG31" i="1"/>
  <c r="AG30" i="1"/>
  <c r="AG29" i="1"/>
  <c r="AG28" i="1"/>
  <c r="AG26" i="1"/>
  <c r="AG25" i="1"/>
  <c r="AG24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8" i="1"/>
  <c r="AG7" i="1"/>
  <c r="AG6" i="1"/>
  <c r="AG5" i="1"/>
  <c r="AG4" i="1"/>
  <c r="AG2" i="1"/>
  <c r="AH76" i="1"/>
  <c r="AH72" i="1"/>
  <c r="AH70" i="1"/>
  <c r="AH68" i="1"/>
  <c r="AH67" i="1"/>
  <c r="AH66" i="1"/>
  <c r="AH60" i="1"/>
  <c r="AH56" i="1"/>
  <c r="AH49" i="1"/>
  <c r="AH47" i="1"/>
  <c r="AH46" i="1"/>
  <c r="AH45" i="1"/>
  <c r="AH40" i="1"/>
  <c r="AH39" i="1"/>
  <c r="AH34" i="1"/>
  <c r="AH33" i="1"/>
  <c r="AH32" i="1"/>
  <c r="AH31" i="1"/>
  <c r="AH30" i="1"/>
  <c r="AH29" i="1"/>
  <c r="AH28" i="1"/>
  <c r="AH26" i="1"/>
  <c r="AH25" i="1"/>
  <c r="AH24" i="1"/>
  <c r="AH22" i="1"/>
  <c r="AH21" i="1"/>
  <c r="AH20" i="1"/>
  <c r="AH19" i="1"/>
  <c r="AH18" i="1"/>
  <c r="AH17" i="1"/>
  <c r="AH16" i="1"/>
  <c r="AH15" i="1"/>
  <c r="AH14" i="1"/>
  <c r="AH13" i="1"/>
  <c r="AH12" i="1"/>
  <c r="AH9" i="1"/>
  <c r="AH7" i="1"/>
  <c r="AH6" i="1"/>
  <c r="AH5" i="1"/>
  <c r="AH4" i="1"/>
  <c r="AI76" i="1"/>
  <c r="AI74" i="1"/>
  <c r="AI73" i="1"/>
  <c r="AI72" i="1"/>
  <c r="AI70" i="1"/>
  <c r="AI68" i="1"/>
  <c r="AI67" i="1"/>
  <c r="AI66" i="1"/>
  <c r="AI61" i="1"/>
  <c r="AI60" i="1"/>
  <c r="AI53" i="1"/>
  <c r="AI50" i="1"/>
  <c r="AI49" i="1"/>
  <c r="AI48" i="1"/>
  <c r="AI47" i="1"/>
  <c r="AI46" i="1"/>
  <c r="AI45" i="1"/>
  <c r="AI43" i="1"/>
  <c r="AI42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5" i="1"/>
  <c r="AI4" i="1"/>
  <c r="AI2" i="1"/>
</calcChain>
</file>

<file path=xl/sharedStrings.xml><?xml version="1.0" encoding="utf-8"?>
<sst xmlns="http://schemas.openxmlformats.org/spreadsheetml/2006/main" count="217" uniqueCount="102">
  <si>
    <t>指定都市（再掲）</t>
  </si>
  <si>
    <t xml:space="preserve"> -  </t>
  </si>
  <si>
    <t>-</t>
    <phoneticPr fontId="2"/>
  </si>
  <si>
    <t>.</t>
    <phoneticPr fontId="2"/>
  </si>
  <si>
    <t xml:space="preserve">東京都特別区 </t>
    <phoneticPr fontId="2"/>
  </si>
  <si>
    <t>北海道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</si>
  <si>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</si>
  <si>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</si>
  <si>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</si>
  <si>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</si>
  <si>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</si>
  <si>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</si>
  <si>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</si>
  <si>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</si>
  <si>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</si>
  <si>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</si>
  <si>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</si>
  <si>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</si>
  <si>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</si>
  <si>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</si>
  <si>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</si>
  <si>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</si>
  <si>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</si>
  <si>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</si>
  <si>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</si>
  <si>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外国</t>
  </si>
  <si>
    <t>不詳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</si>
  <si>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</si>
  <si>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</si>
  <si>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</si>
  <si>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</si>
  <si>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</si>
  <si>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</si>
  <si>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</si>
  <si>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</si>
  <si>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</si>
  <si>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</si>
  <si>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</si>
  <si>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</si>
  <si>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</si>
  <si>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</si>
  <si>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</si>
  <si>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</si>
  <si>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</si>
  <si>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</si>
  <si>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</si>
  <si>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</si>
  <si>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</si>
  <si>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</si>
  <si>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</si>
  <si>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</si>
  <si>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</si>
  <si>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</si>
  <si>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</si>
  <si>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</si>
  <si>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</si>
  <si>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</si>
  <si>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</si>
  <si>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</si>
  <si>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</si>
  <si>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</si>
  <si>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</si>
  <si>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</si>
  <si>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</si>
  <si>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</si>
  <si>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</si>
  <si>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</si>
  <si>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</si>
  <si>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</si>
  <si>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</si>
  <si>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</si>
  <si>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</si>
  <si>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</si>
  <si>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  <rPh sb="0" eb="1">
      <t>フサ</t>
    </rPh>
    <rPh sb="1" eb="2">
      <t>カズ</t>
    </rPh>
    <phoneticPr fontId="2"/>
  </si>
  <si>
    <t>熊本市</t>
    <rPh sb="0" eb="3">
      <t>クマモトシ</t>
    </rPh>
    <phoneticPr fontId="2"/>
  </si>
  <si>
    <t>-</t>
    <phoneticPr fontId="2"/>
  </si>
  <si>
    <t>出典：人口動態統計 https://www.e-stat.go.jp/stat-search/files?page=1&amp;layout=datalist&amp;toukei=00450011&amp;tstat=000001028897&amp;cycle=7&amp;tclass1=000001053058&amp;tclass2=000001053061&amp;tclass3=000001053065&amp;cycle_facet=tclass1%3Atclass2%3Atclass3%3Acycle&amp;tclass4val=0</t>
    <rPh sb="0" eb="2">
      <t>シュッテン</t>
    </rPh>
    <rPh sb="3" eb="5">
      <t>ジンコウ</t>
    </rPh>
    <rPh sb="5" eb="7">
      <t>ドウタイ</t>
    </rPh>
    <rPh sb="7" eb="9">
      <t>トウケイ</t>
    </rPh>
    <phoneticPr fontId="2"/>
  </si>
  <si>
    <t>出典：人口動態統計　https://www.e-stat.go.jp/stat-search/files?page=1&amp;layout=datalist&amp;toukei=00450011&amp;tstat=000001028897&amp;cycle=7&amp;tclass1=000001053058&amp;tclass2=000001053061&amp;tclass3=000001053065&amp;cycle_facet=tclass1%3Atclass2%3Atclass3%3Acycle&amp;tclass4val=0</t>
    <rPh sb="0" eb="2">
      <t>シュッテン</t>
    </rPh>
    <rPh sb="3" eb="5">
      <t>ジンコウ</t>
    </rPh>
    <rPh sb="5" eb="7">
      <t>ドウタイ</t>
    </rPh>
    <rPh sb="7" eb="9">
      <t>トウケイ</t>
    </rPh>
    <phoneticPr fontId="2"/>
  </si>
  <si>
    <t>都道府県市別死亡数（市再掲)</t>
    <rPh sb="0" eb="4">
      <t>トドウフケン</t>
    </rPh>
    <rPh sb="4" eb="5">
      <t>シ</t>
    </rPh>
    <rPh sb="5" eb="6">
      <t>ベツ</t>
    </rPh>
    <rPh sb="6" eb="9">
      <t>シボウスウ</t>
    </rPh>
    <rPh sb="10" eb="11">
      <t>シ</t>
    </rPh>
    <rPh sb="11" eb="13">
      <t>サイケイ</t>
    </rPh>
    <phoneticPr fontId="2"/>
  </si>
  <si>
    <t>都道府県市別死亡率
（市再掲)</t>
    <rPh sb="0" eb="4">
      <t>トドウフケン</t>
    </rPh>
    <rPh sb="4" eb="5">
      <t>シ</t>
    </rPh>
    <rPh sb="5" eb="6">
      <t>ベツ</t>
    </rPh>
    <rPh sb="6" eb="8">
      <t>シボウ</t>
    </rPh>
    <rPh sb="8" eb="9">
      <t>リツ</t>
    </rPh>
    <rPh sb="11" eb="12">
      <t>シ</t>
    </rPh>
    <rPh sb="12" eb="14">
      <t>サイケイ</t>
    </rPh>
    <phoneticPr fontId="2"/>
  </si>
  <si>
    <t>-</t>
  </si>
  <si>
    <t>令和４年</t>
  </si>
  <si>
    <t>人口動態統計</t>
  </si>
  <si>
    <t>上巻　死亡　第５．１２表　死因（死因年次推移分類）別にみた性・年次別死亡数及び死亡率（人口10万対）</t>
  </si>
  <si>
    <t>注：１）死因分類の改正により、年次別比較には完全な内容の一致をみることはできない。</t>
  </si>
  <si>
    <t>　　２）1950年（昭和25年）の脳血管疾患には、B46.b（352の一部、B22の後遺症及び１年以上経過したもの）を含むため、1950年（昭和25年）報告書とは一致しない。</t>
  </si>
  <si>
    <t>　　３）1994年（平成６年）の心疾患の減少は、新しい死亡診断書(死体検案書)(平成７年１月施行)における「死亡の原因欄には、疾患の終末期の状態としての心不全、</t>
  </si>
  <si>
    <t>　　　　呼吸不全等は書かないでください。」という注意書きの、事前周知の影響によるものと考えられる。</t>
  </si>
  <si>
    <t>　　４）死因名等はICD-10（2013年版）の死因年次推移分類による。</t>
  </si>
  <si>
    <t>　　５）1943年（昭和18年）のみは樺太を含む数値であり、e-Stat（確定数）の「総覧」の表番号 上巻 ３－２－１ における死亡数とは一致しない。</t>
  </si>
  <si>
    <t>　　６）1944年（昭和19年）～1946年（昭和21年）は戦災による資料喪失等資料不備のため省略した。</t>
  </si>
  <si>
    <t>　　７）1947年（昭和22年）～1972年（昭和47年）は沖縄県を含まない。</t>
  </si>
  <si>
    <t>　　８）死亡総数には、死因年次推移分類以外の死因を含む。</t>
  </si>
  <si>
    <t>　　９）1959年（昭和34年）以前は男女不詳を含む。</t>
  </si>
  <si>
    <t>　　10）2004・2006・2009～2017年（平成16・18・21～29年）の都道府県からの報告漏れ（2019年３月29日公表）による再集計を行ったことにより、2017年（平成29年）以前の報告書とは数値が一致しない箇所がある。</t>
  </si>
  <si>
    <t>Hi01</t>
  </si>
  <si>
    <t>結核</t>
  </si>
  <si>
    <t>死亡数</t>
  </si>
  <si>
    <t>死亡率</t>
  </si>
  <si>
    <t>男</t>
    <rPh sb="0" eb="1">
      <t>オトコ</t>
    </rPh>
    <phoneticPr fontId="2"/>
  </si>
  <si>
    <t>女</t>
    <rPh sb="0" eb="1">
      <t>オンナ</t>
    </rPh>
    <phoneticPr fontId="2"/>
  </si>
  <si>
    <t>2022（令和4）年　人口動態統計</t>
    <rPh sb="5" eb="7">
      <t>レイワ</t>
    </rPh>
    <rPh sb="9" eb="10">
      <t>ネン</t>
    </rPh>
    <rPh sb="11" eb="13">
      <t>ジンコウ</t>
    </rPh>
    <rPh sb="13" eb="15">
      <t>ドウタイ</t>
    </rPh>
    <rPh sb="15" eb="17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</si>
</sst>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 "/>
    <numFmt numFmtId="178" formatCode="0.0_);[Red]\(0.0\)"/>
    <numFmt numFmtId="179" formatCode="#,##0.0;[Red]\-#,##0.0"/>
    <numFmt numFmtId="180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Meiryo UI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>
      <alignment vertical="center"/>
    </xf>
    <xf numFmtId="38" fontId="4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>
      <alignment vertical="center"/>
    </xf>
    <xf numFmtId="38" fontId="4" fillId="2" borderId="0" xfId="1" applyFont="1" applyFill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 indent="1"/>
    </xf>
    <xf numFmtId="38" fontId="4" fillId="0" borderId="0" xfId="1" applyFont="1" applyFill="1" applyBorder="1" applyAlignment="1">
      <alignment horizontal="left" vertical="center" indent="1"/>
    </xf>
    <xf numFmtId="38" fontId="4" fillId="0" borderId="0" xfId="1" applyFont="1" applyFill="1">
      <alignment vertical="center"/>
    </xf>
    <xf numFmtId="38" fontId="4" fillId="0" borderId="0" xfId="1" applyFont="1" applyBorder="1" applyAlignment="1">
      <alignment horizontal="left" vertical="center" indent="1"/>
    </xf>
    <xf numFmtId="38" fontId="4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3" fillId="0" borderId="0" xfId="1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3" fontId="4" fillId="0" borderId="2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8" fontId="3" fillId="2" borderId="1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8" fontId="4" fillId="0" borderId="0" xfId="1" applyNumberFormat="1" applyFont="1" applyFill="1" applyAlignment="1">
      <alignment vertical="center"/>
    </xf>
    <xf numFmtId="178" fontId="4" fillId="0" borderId="0" xfId="1" applyNumberFormat="1" applyFont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78" fontId="4" fillId="0" borderId="0" xfId="1" applyNumberFormat="1" applyFont="1">
      <alignment vertical="center"/>
    </xf>
    <xf numFmtId="178" fontId="4" fillId="0" borderId="0" xfId="1" applyNumberFormat="1" applyFont="1" applyBorder="1">
      <alignment vertical="center"/>
    </xf>
    <xf numFmtId="178" fontId="3" fillId="0" borderId="0" xfId="1" applyNumberFormat="1" applyFont="1" applyAlignment="1">
      <alignment horizontal="right" vertical="center"/>
    </xf>
    <xf numFmtId="178" fontId="4" fillId="0" borderId="0" xfId="0" applyNumberFormat="1" applyFont="1">
      <alignment vertical="center"/>
    </xf>
    <xf numFmtId="178" fontId="6" fillId="0" borderId="0" xfId="1" applyNumberFormat="1" applyFont="1" applyFill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3" fillId="0" borderId="0" xfId="1" applyNumberFormat="1" applyFont="1" applyFill="1" applyBorder="1" applyAlignment="1">
      <alignment horizontal="left" vertical="center" indent="1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Fill="1" applyBorder="1">
      <alignment vertical="center"/>
    </xf>
    <xf numFmtId="178" fontId="4" fillId="0" borderId="0" xfId="1" applyNumberFormat="1" applyFont="1" applyFill="1" applyBorder="1" applyAlignment="1">
      <alignment horizontal="left" vertical="center" indent="1"/>
    </xf>
    <xf numFmtId="178" fontId="4" fillId="0" borderId="0" xfId="1" applyNumberFormat="1" applyFont="1" applyFill="1">
      <alignment vertical="center"/>
    </xf>
    <xf numFmtId="0" fontId="3" fillId="0" borderId="0" xfId="0" applyFont="1" applyAlignment="1">
      <alignment horizontal="center" vertical="center" wrapText="1"/>
    </xf>
    <xf numFmtId="178" fontId="3" fillId="3" borderId="0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Border="1">
      <alignment vertical="center"/>
    </xf>
    <xf numFmtId="179" fontId="3" fillId="0" borderId="0" xfId="1" applyNumberFormat="1" applyFont="1">
      <alignment vertical="center"/>
    </xf>
    <xf numFmtId="179" fontId="4" fillId="0" borderId="0" xfId="1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38" fontId="4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0" fontId="7" fillId="0" borderId="0" xfId="0" applyFont="1">
      <alignment vertical="center"/>
    </xf>
    <xf numFmtId="38" fontId="7" fillId="0" borderId="0" xfId="1" applyFont="1" applyBorder="1">
      <alignment vertical="center"/>
    </xf>
    <xf numFmtId="38" fontId="7" fillId="0" borderId="0" xfId="1" applyFont="1">
      <alignment vertical="center"/>
    </xf>
    <xf numFmtId="38" fontId="4" fillId="0" borderId="0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38" fontId="8" fillId="0" borderId="0" xfId="1" applyFont="1" applyFill="1">
      <alignment vertical="center"/>
    </xf>
    <xf numFmtId="38" fontId="8" fillId="0" borderId="0" xfId="1" applyFont="1" applyFill="1" applyAlignment="1">
      <alignment horizontal="right" vertical="center"/>
    </xf>
    <xf numFmtId="38" fontId="6" fillId="0" borderId="0" xfId="1" applyFont="1">
      <alignment vertical="center"/>
    </xf>
    <xf numFmtId="0" fontId="4" fillId="0" borderId="0" xfId="1" applyNumberFormat="1" applyFont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180" fontId="4" fillId="0" borderId="0" xfId="0" applyNumberFormat="1" applyFont="1">
      <alignment vertical="center"/>
    </xf>
    <xf numFmtId="180" fontId="4" fillId="0" borderId="6" xfId="0" applyNumberFormat="1" applyFont="1" applyBorder="1">
      <alignment vertical="center"/>
    </xf>
    <xf numFmtId="179" fontId="4" fillId="0" borderId="0" xfId="1" applyNumberFormat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8" xfId="0" applyFont="1" applyBorder="1">
      <alignment vertical="center"/>
    </xf>
    <xf numFmtId="180" fontId="4" fillId="0" borderId="8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60"/>
  <sheetViews>
    <sheetView tabSelected="1" zoomScaleNormal="100" zoomScaleSheetLayoutView="100" workbookViewId="0">
      <pane xSplit="1" ySplit="1" topLeftCell="AV2" activePane="bottomRight" state="frozen"/>
      <selection pane="topRight" activeCell="B1" sqref="B1"/>
      <selection pane="bottomLeft" activeCell="A3" sqref="A3"/>
      <selection pane="bottomRight" activeCell="BQ1" sqref="BQ1"/>
    </sheetView>
  </sheetViews>
  <sheetFormatPr defaultRowHeight="16.5" x14ac:dyDescent="0.15"/>
  <cols>
    <col min="1" max="1" width="15.625" style="10" customWidth="1"/>
    <col min="2" max="7" width="6.625" style="10" customWidth="1"/>
    <col min="8" max="38" width="6.625" style="4" customWidth="1"/>
    <col min="39" max="39" width="7.375" style="4" customWidth="1"/>
    <col min="40" max="41" width="6.625" style="4" customWidth="1"/>
    <col min="42" max="62" width="6.25" style="4" customWidth="1"/>
    <col min="63" max="63" width="6.25" style="23" customWidth="1"/>
    <col min="64" max="67" width="6.25" style="4" customWidth="1"/>
    <col min="68" max="68" width="6.625" style="4" customWidth="1"/>
    <col min="69" max="16384" width="9" style="4"/>
  </cols>
  <sheetData>
    <row r="1" spans="1:69" s="10" customFormat="1" ht="35.25" customHeight="1" x14ac:dyDescent="0.15">
      <c r="A1" s="30" t="s">
        <v>78</v>
      </c>
      <c r="B1" s="52">
        <v>1955</v>
      </c>
      <c r="C1" s="52">
        <v>1956</v>
      </c>
      <c r="D1" s="52">
        <v>1957</v>
      </c>
      <c r="E1" s="52">
        <v>1958</v>
      </c>
      <c r="F1" s="52">
        <v>1959</v>
      </c>
      <c r="G1" s="52">
        <v>1960</v>
      </c>
      <c r="H1" s="10">
        <v>1961</v>
      </c>
      <c r="I1" s="10">
        <v>1962</v>
      </c>
      <c r="J1" s="10">
        <v>1963</v>
      </c>
      <c r="K1" s="10">
        <v>1964</v>
      </c>
      <c r="L1" s="10">
        <v>1965</v>
      </c>
      <c r="M1" s="10">
        <v>1966</v>
      </c>
      <c r="N1" s="10">
        <v>1967</v>
      </c>
      <c r="O1" s="10">
        <v>1968</v>
      </c>
      <c r="P1" s="10">
        <v>1969</v>
      </c>
      <c r="Q1" s="10">
        <v>1970</v>
      </c>
      <c r="R1" s="10">
        <v>1971</v>
      </c>
      <c r="S1" s="10">
        <v>1972</v>
      </c>
      <c r="T1" s="10">
        <v>1973</v>
      </c>
      <c r="U1" s="10">
        <v>1974</v>
      </c>
      <c r="V1" s="10">
        <v>1975</v>
      </c>
      <c r="W1" s="10">
        <v>1976</v>
      </c>
      <c r="X1" s="10">
        <v>1977</v>
      </c>
      <c r="Y1" s="10">
        <v>1978</v>
      </c>
      <c r="Z1" s="10">
        <v>1979</v>
      </c>
      <c r="AA1" s="10">
        <v>1980</v>
      </c>
      <c r="AB1" s="10">
        <v>1981</v>
      </c>
      <c r="AC1" s="11">
        <v>1982</v>
      </c>
      <c r="AD1" s="11">
        <v>1983</v>
      </c>
      <c r="AE1" s="11">
        <v>1984</v>
      </c>
      <c r="AF1" s="11">
        <v>1985</v>
      </c>
      <c r="AG1" s="11">
        <v>1986</v>
      </c>
      <c r="AH1" s="11">
        <v>1987</v>
      </c>
      <c r="AI1" s="10">
        <v>1988</v>
      </c>
      <c r="AJ1" s="10">
        <v>1989</v>
      </c>
      <c r="AK1" s="10">
        <v>1990</v>
      </c>
      <c r="AL1" s="10">
        <v>1991</v>
      </c>
      <c r="AM1" s="10">
        <v>1992</v>
      </c>
      <c r="AN1" s="10">
        <v>1993</v>
      </c>
      <c r="AO1" s="10">
        <v>1994</v>
      </c>
      <c r="AP1" s="10">
        <v>1995</v>
      </c>
      <c r="AQ1" s="9">
        <v>1996</v>
      </c>
      <c r="AR1" s="9">
        <v>1997</v>
      </c>
      <c r="AS1" s="10">
        <v>1998</v>
      </c>
      <c r="AT1" s="10">
        <v>1999</v>
      </c>
      <c r="AU1" s="9">
        <v>2000</v>
      </c>
      <c r="AV1" s="9">
        <v>2001</v>
      </c>
      <c r="AW1" s="10">
        <v>2002</v>
      </c>
      <c r="AX1" s="10">
        <v>2003</v>
      </c>
      <c r="AY1" s="10">
        <v>2004</v>
      </c>
      <c r="AZ1" s="9">
        <v>2005</v>
      </c>
      <c r="BA1" s="9">
        <v>2006</v>
      </c>
      <c r="BB1" s="10">
        <v>2007</v>
      </c>
      <c r="BC1" s="10">
        <v>2008</v>
      </c>
      <c r="BD1" s="10">
        <v>2009</v>
      </c>
      <c r="BE1" s="10">
        <v>2010</v>
      </c>
      <c r="BF1" s="10">
        <v>2011</v>
      </c>
      <c r="BG1" s="10">
        <v>2012</v>
      </c>
      <c r="BH1" s="10">
        <v>2013</v>
      </c>
      <c r="BI1" s="10">
        <v>2014</v>
      </c>
      <c r="BJ1" s="10">
        <v>2015</v>
      </c>
      <c r="BK1" s="24">
        <v>2016</v>
      </c>
      <c r="BL1" s="10">
        <v>2017</v>
      </c>
      <c r="BM1" s="10">
        <v>2018</v>
      </c>
      <c r="BN1" s="24">
        <v>2019</v>
      </c>
      <c r="BO1" s="10">
        <v>2020</v>
      </c>
      <c r="BP1" s="10">
        <v>2021</v>
      </c>
      <c r="BQ1" s="10">
        <v>2022</v>
      </c>
    </row>
    <row r="2" spans="1:69" s="7" customFormat="1" x14ac:dyDescent="0.15">
      <c r="A2" s="15" t="s">
        <v>73</v>
      </c>
      <c r="B2" s="63">
        <v>46735</v>
      </c>
      <c r="C2" s="64">
        <v>43874</v>
      </c>
      <c r="D2" s="64">
        <v>42718</v>
      </c>
      <c r="E2" s="64">
        <v>36274</v>
      </c>
      <c r="F2" s="64">
        <v>32992</v>
      </c>
      <c r="G2" s="63">
        <v>31959</v>
      </c>
      <c r="H2" s="5">
        <f>25621+2295</f>
        <v>27916</v>
      </c>
      <c r="I2" s="5">
        <f>25815+2037</f>
        <v>27852</v>
      </c>
      <c r="J2" s="5">
        <f>21627+1675</f>
        <v>23302</v>
      </c>
      <c r="K2" s="5">
        <f>21449+1480</f>
        <v>22929</v>
      </c>
      <c r="L2" s="5">
        <f>21033+1333</f>
        <v>22366</v>
      </c>
      <c r="M2" s="5">
        <f>18896+1168</f>
        <v>20064</v>
      </c>
      <c r="N2" s="5">
        <f>16676+1032</f>
        <v>17708</v>
      </c>
      <c r="O2" s="5">
        <f>16039+883</f>
        <v>16922</v>
      </c>
      <c r="P2" s="5">
        <f>15562+830</f>
        <v>16392</v>
      </c>
      <c r="Q2" s="5">
        <f>15132+767</f>
        <v>15899</v>
      </c>
      <c r="R2" s="5">
        <f>12946+662</f>
        <v>13608</v>
      </c>
      <c r="S2" s="5">
        <f>11983+582</f>
        <v>12565</v>
      </c>
      <c r="T2" s="5">
        <f>11420+545</f>
        <v>11965</v>
      </c>
      <c r="U2" s="5">
        <f>10885+533</f>
        <v>11418</v>
      </c>
      <c r="V2" s="5">
        <f>10100+467</f>
        <v>10567</v>
      </c>
      <c r="W2" s="5">
        <f>9137+441</f>
        <v>9578</v>
      </c>
      <c r="X2" s="5">
        <f>8419+384</f>
        <v>8803</v>
      </c>
      <c r="Y2" s="5">
        <f>7917+344</f>
        <v>8261</v>
      </c>
      <c r="Z2" s="5">
        <f>6405+333</f>
        <v>6738</v>
      </c>
      <c r="AA2" s="5">
        <f>6144+295</f>
        <v>6439</v>
      </c>
      <c r="AB2" s="5">
        <f>5438+260</f>
        <v>5698</v>
      </c>
      <c r="AC2" s="5">
        <f>5070+273</f>
        <v>5343</v>
      </c>
      <c r="AD2" s="5">
        <f>5088+241</f>
        <v>5329</v>
      </c>
      <c r="AE2" s="5">
        <f>4703+247</f>
        <v>4950</v>
      </c>
      <c r="AF2" s="5">
        <f>4484+208</f>
        <v>4692</v>
      </c>
      <c r="AG2" s="5">
        <f>4001+169</f>
        <v>4170</v>
      </c>
      <c r="AH2" s="5">
        <v>4022</v>
      </c>
      <c r="AI2" s="5">
        <f>3672+200</f>
        <v>3872</v>
      </c>
      <c r="AJ2" s="5">
        <v>3527</v>
      </c>
      <c r="AK2" s="5">
        <v>3664</v>
      </c>
      <c r="AL2" s="5">
        <v>3325</v>
      </c>
      <c r="AM2" s="5">
        <v>3347</v>
      </c>
      <c r="AN2" s="5">
        <v>3249</v>
      </c>
      <c r="AO2" s="5">
        <v>3094</v>
      </c>
      <c r="AP2" s="6">
        <v>3178</v>
      </c>
      <c r="AQ2" s="6">
        <v>2858</v>
      </c>
      <c r="AR2" s="6">
        <v>2742</v>
      </c>
      <c r="AS2" s="6">
        <v>2795</v>
      </c>
      <c r="AT2" s="6">
        <v>2935</v>
      </c>
      <c r="AU2" s="6">
        <v>2656</v>
      </c>
      <c r="AV2" s="6">
        <v>2491</v>
      </c>
      <c r="AW2" s="6">
        <v>2317</v>
      </c>
      <c r="AX2" s="6">
        <v>2337</v>
      </c>
      <c r="AY2" s="6">
        <v>2330</v>
      </c>
      <c r="AZ2" s="6">
        <v>2296</v>
      </c>
      <c r="BA2" s="3">
        <v>2269</v>
      </c>
      <c r="BB2" s="6">
        <v>2194</v>
      </c>
      <c r="BC2" s="6">
        <v>2220</v>
      </c>
      <c r="BD2" s="7">
        <v>2159</v>
      </c>
      <c r="BE2" s="7">
        <v>2129</v>
      </c>
      <c r="BF2" s="7">
        <v>2166</v>
      </c>
      <c r="BG2" s="14">
        <v>2110</v>
      </c>
      <c r="BH2" s="7">
        <v>2087</v>
      </c>
      <c r="BI2" s="7">
        <v>2100</v>
      </c>
      <c r="BJ2" s="7">
        <v>1956</v>
      </c>
      <c r="BK2" s="22">
        <v>1893</v>
      </c>
      <c r="BL2" s="7">
        <f>SUM(BL4:BL53)</f>
        <v>2306</v>
      </c>
      <c r="BM2" s="26">
        <v>2204</v>
      </c>
      <c r="BN2" s="25">
        <v>2087</v>
      </c>
      <c r="BO2" s="7">
        <v>1909</v>
      </c>
      <c r="BP2" s="7">
        <v>1845</v>
      </c>
      <c r="BQ2" s="67">
        <v>1664</v>
      </c>
    </row>
    <row r="3" spans="1:69" s="7" customFormat="1" ht="9.75" customHeight="1" x14ac:dyDescent="0.15">
      <c r="A3" s="1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9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6"/>
      <c r="AZ3" s="6"/>
      <c r="BA3" s="1"/>
      <c r="BB3" s="6"/>
      <c r="BC3" s="6"/>
      <c r="BI3" s="4"/>
      <c r="BK3" s="22"/>
      <c r="BN3" s="27"/>
      <c r="BP3" s="4"/>
      <c r="BQ3" s="19"/>
    </row>
    <row r="4" spans="1:69" s="7" customFormat="1" x14ac:dyDescent="0.15">
      <c r="A4" s="16" t="s">
        <v>5</v>
      </c>
      <c r="B4" s="63">
        <v>3140</v>
      </c>
      <c r="C4" s="64">
        <v>2763</v>
      </c>
      <c r="D4" s="64">
        <v>2772</v>
      </c>
      <c r="E4" s="64">
        <v>2195</v>
      </c>
      <c r="F4" s="64">
        <v>2086</v>
      </c>
      <c r="G4" s="63">
        <v>1941</v>
      </c>
      <c r="H4" s="1">
        <f>1572+209</f>
        <v>1781</v>
      </c>
      <c r="I4" s="1">
        <f>1512+181</f>
        <v>1693</v>
      </c>
      <c r="J4" s="1">
        <f>1249+127</f>
        <v>1376</v>
      </c>
      <c r="K4" s="1">
        <f>1180+116</f>
        <v>1296</v>
      </c>
      <c r="L4" s="1">
        <f>1220+100</f>
        <v>1320</v>
      </c>
      <c r="M4" s="1">
        <f>1090+97</f>
        <v>1187</v>
      </c>
      <c r="N4" s="1">
        <f>872+84</f>
        <v>956</v>
      </c>
      <c r="O4" s="1">
        <f>851+76</f>
        <v>927</v>
      </c>
      <c r="P4" s="1">
        <f>793+63</f>
        <v>856</v>
      </c>
      <c r="Q4" s="5">
        <f>765+62</f>
        <v>827</v>
      </c>
      <c r="R4" s="1">
        <f>657+62</f>
        <v>719</v>
      </c>
      <c r="S4" s="1">
        <f>577+38</f>
        <v>615</v>
      </c>
      <c r="T4" s="1">
        <v>571</v>
      </c>
      <c r="U4" s="1">
        <f>524+40</f>
        <v>564</v>
      </c>
      <c r="V4" s="1">
        <f>494+30</f>
        <v>524</v>
      </c>
      <c r="W4" s="1">
        <f>438+36</f>
        <v>474</v>
      </c>
      <c r="X4" s="1">
        <f>354+33</f>
        <v>387</v>
      </c>
      <c r="Y4" s="1">
        <f>342+21</f>
        <v>363</v>
      </c>
      <c r="Z4" s="1">
        <f>265+24</f>
        <v>289</v>
      </c>
      <c r="AA4" s="1">
        <f>264+15</f>
        <v>279</v>
      </c>
      <c r="AB4" s="1">
        <f>236+19</f>
        <v>255</v>
      </c>
      <c r="AC4" s="1">
        <f>179+17</f>
        <v>196</v>
      </c>
      <c r="AD4" s="1">
        <f>187+11</f>
        <v>198</v>
      </c>
      <c r="AE4" s="1">
        <f>170+14</f>
        <v>184</v>
      </c>
      <c r="AF4" s="1">
        <f>186+11</f>
        <v>197</v>
      </c>
      <c r="AG4" s="1">
        <f>151+12</f>
        <v>163</v>
      </c>
      <c r="AH4" s="1">
        <f>143+11</f>
        <v>154</v>
      </c>
      <c r="AI4" s="1">
        <f>134+9</f>
        <v>143</v>
      </c>
      <c r="AJ4" s="1">
        <v>129</v>
      </c>
      <c r="AK4" s="1">
        <v>124</v>
      </c>
      <c r="AL4" s="1">
        <v>108</v>
      </c>
      <c r="AM4" s="1">
        <v>124</v>
      </c>
      <c r="AN4" s="1">
        <v>116</v>
      </c>
      <c r="AO4" s="1">
        <v>114</v>
      </c>
      <c r="AP4" s="2">
        <v>114</v>
      </c>
      <c r="AQ4" s="2">
        <v>75</v>
      </c>
      <c r="AR4" s="2">
        <v>77</v>
      </c>
      <c r="AS4" s="2">
        <v>93</v>
      </c>
      <c r="AT4" s="2">
        <v>91</v>
      </c>
      <c r="AU4" s="6">
        <v>66</v>
      </c>
      <c r="AV4" s="6">
        <v>87</v>
      </c>
      <c r="AW4" s="6">
        <v>80</v>
      </c>
      <c r="AX4" s="6">
        <v>89</v>
      </c>
      <c r="AY4" s="6">
        <v>73</v>
      </c>
      <c r="AZ4" s="6">
        <v>75</v>
      </c>
      <c r="BA4" s="3">
        <v>70</v>
      </c>
      <c r="BB4" s="6">
        <v>82</v>
      </c>
      <c r="BC4" s="8">
        <v>63</v>
      </c>
      <c r="BD4" s="7">
        <v>76</v>
      </c>
      <c r="BE4" s="7">
        <v>72</v>
      </c>
      <c r="BF4" s="7">
        <v>66</v>
      </c>
      <c r="BG4" s="7">
        <v>58</v>
      </c>
      <c r="BH4" s="7">
        <v>60</v>
      </c>
      <c r="BI4" s="4">
        <v>74</v>
      </c>
      <c r="BJ4" s="7">
        <v>47</v>
      </c>
      <c r="BK4" s="22">
        <v>51</v>
      </c>
      <c r="BL4" s="7">
        <v>61</v>
      </c>
      <c r="BM4" s="23">
        <v>70</v>
      </c>
      <c r="BN4" s="4">
        <v>73</v>
      </c>
      <c r="BO4" s="4">
        <v>44</v>
      </c>
      <c r="BP4" s="4">
        <v>59</v>
      </c>
      <c r="BQ4" s="67">
        <v>60</v>
      </c>
    </row>
    <row r="5" spans="1:69" s="7" customFormat="1" x14ac:dyDescent="0.15">
      <c r="A5" s="16" t="s">
        <v>27</v>
      </c>
      <c r="B5" s="63">
        <v>827</v>
      </c>
      <c r="C5" s="64">
        <v>784</v>
      </c>
      <c r="D5" s="64">
        <v>797</v>
      </c>
      <c r="E5" s="64">
        <v>659</v>
      </c>
      <c r="F5" s="64">
        <v>630</v>
      </c>
      <c r="G5" s="63">
        <v>531</v>
      </c>
      <c r="H5" s="1">
        <f>417+59</f>
        <v>476</v>
      </c>
      <c r="I5" s="1">
        <f>437+43</f>
        <v>480</v>
      </c>
      <c r="J5" s="1">
        <f>312+42</f>
        <v>354</v>
      </c>
      <c r="K5" s="1">
        <f>354+22</f>
        <v>376</v>
      </c>
      <c r="L5" s="1">
        <f>338+28</f>
        <v>366</v>
      </c>
      <c r="M5" s="1">
        <f>321+27</f>
        <v>348</v>
      </c>
      <c r="N5" s="1">
        <f>295+18</f>
        <v>313</v>
      </c>
      <c r="O5" s="1">
        <f>253+26</f>
        <v>279</v>
      </c>
      <c r="P5" s="1">
        <f>265+20</f>
        <v>285</v>
      </c>
      <c r="Q5" s="1">
        <f>239+15</f>
        <v>254</v>
      </c>
      <c r="R5" s="1">
        <f>207+10</f>
        <v>217</v>
      </c>
      <c r="S5" s="1">
        <f>200+29</f>
        <v>229</v>
      </c>
      <c r="T5" s="1">
        <f>198+10</f>
        <v>208</v>
      </c>
      <c r="U5" s="1">
        <f>189+14</f>
        <v>203</v>
      </c>
      <c r="V5" s="1">
        <f>180+7</f>
        <v>187</v>
      </c>
      <c r="W5" s="1">
        <f>151+7</f>
        <v>158</v>
      </c>
      <c r="X5" s="1">
        <f>130+8</f>
        <v>138</v>
      </c>
      <c r="Y5" s="1">
        <f>113+7</f>
        <v>120</v>
      </c>
      <c r="Z5" s="1">
        <f>117+6</f>
        <v>123</v>
      </c>
      <c r="AA5" s="1">
        <f>97+5</f>
        <v>102</v>
      </c>
      <c r="AB5" s="1">
        <f>92+4</f>
        <v>96</v>
      </c>
      <c r="AC5" s="1">
        <f>91+5</f>
        <v>96</v>
      </c>
      <c r="AD5" s="1">
        <f>89+6</f>
        <v>95</v>
      </c>
      <c r="AE5" s="1">
        <f>82+5</f>
        <v>87</v>
      </c>
      <c r="AF5" s="1">
        <f>72+4</f>
        <v>76</v>
      </c>
      <c r="AG5" s="1">
        <f>64+2</f>
        <v>66</v>
      </c>
      <c r="AH5" s="1">
        <f>69+2</f>
        <v>71</v>
      </c>
      <c r="AI5" s="1">
        <f>53+1</f>
        <v>54</v>
      </c>
      <c r="AJ5" s="1">
        <v>51</v>
      </c>
      <c r="AK5" s="1">
        <v>57</v>
      </c>
      <c r="AL5" s="1">
        <v>57</v>
      </c>
      <c r="AM5" s="1">
        <v>54</v>
      </c>
      <c r="AN5" s="1">
        <v>40</v>
      </c>
      <c r="AO5" s="1">
        <v>47</v>
      </c>
      <c r="AP5" s="2">
        <v>45</v>
      </c>
      <c r="AQ5" s="2">
        <v>46</v>
      </c>
      <c r="AR5" s="2">
        <v>28</v>
      </c>
      <c r="AS5" s="2">
        <v>27</v>
      </c>
      <c r="AT5" s="2">
        <v>25</v>
      </c>
      <c r="AU5" s="6">
        <v>31</v>
      </c>
      <c r="AV5" s="6">
        <v>19</v>
      </c>
      <c r="AW5" s="6">
        <v>21</v>
      </c>
      <c r="AX5" s="6">
        <v>25</v>
      </c>
      <c r="AY5" s="6">
        <v>17</v>
      </c>
      <c r="AZ5" s="6">
        <v>13</v>
      </c>
      <c r="BA5" s="3">
        <v>17</v>
      </c>
      <c r="BB5" s="6">
        <v>16</v>
      </c>
      <c r="BC5" s="8">
        <v>30</v>
      </c>
      <c r="BD5" s="7">
        <v>28</v>
      </c>
      <c r="BE5" s="7">
        <v>14</v>
      </c>
      <c r="BF5" s="7">
        <v>25</v>
      </c>
      <c r="BG5" s="7">
        <v>30</v>
      </c>
      <c r="BH5" s="7">
        <v>24</v>
      </c>
      <c r="BI5" s="4">
        <v>21</v>
      </c>
      <c r="BJ5" s="7">
        <v>19</v>
      </c>
      <c r="BK5" s="22">
        <v>28</v>
      </c>
      <c r="BL5" s="7">
        <v>33</v>
      </c>
      <c r="BM5" s="23">
        <v>22</v>
      </c>
      <c r="BN5" s="4">
        <v>25</v>
      </c>
      <c r="BO5" s="4">
        <v>27</v>
      </c>
      <c r="BP5" s="4">
        <v>21</v>
      </c>
      <c r="BQ5" s="67">
        <v>19</v>
      </c>
    </row>
    <row r="6" spans="1:69" s="7" customFormat="1" x14ac:dyDescent="0.15">
      <c r="A6" s="16" t="s">
        <v>28</v>
      </c>
      <c r="B6" s="63">
        <v>765</v>
      </c>
      <c r="C6" s="64">
        <v>695</v>
      </c>
      <c r="D6" s="64">
        <v>628</v>
      </c>
      <c r="E6" s="64">
        <v>511</v>
      </c>
      <c r="F6" s="64">
        <v>465</v>
      </c>
      <c r="G6" s="63">
        <v>428</v>
      </c>
      <c r="H6" s="1">
        <f>329+50</f>
        <v>379</v>
      </c>
      <c r="I6" s="1">
        <f>346+36</f>
        <v>382</v>
      </c>
      <c r="J6" s="1">
        <f>272+43</f>
        <v>315</v>
      </c>
      <c r="K6" s="1">
        <f>286+34</f>
        <v>320</v>
      </c>
      <c r="L6" s="1">
        <f>234+28</f>
        <v>262</v>
      </c>
      <c r="M6" s="1">
        <f>204+21</f>
        <v>225</v>
      </c>
      <c r="N6" s="1">
        <f>199+15</f>
        <v>214</v>
      </c>
      <c r="O6" s="1">
        <f>171+23</f>
        <v>194</v>
      </c>
      <c r="P6" s="1">
        <f>168+17</f>
        <v>185</v>
      </c>
      <c r="Q6" s="1">
        <f>176+19</f>
        <v>195</v>
      </c>
      <c r="R6" s="1">
        <f>133+17</f>
        <v>150</v>
      </c>
      <c r="S6" s="1">
        <f>113+11</f>
        <v>124</v>
      </c>
      <c r="T6" s="1">
        <f>141+11</f>
        <v>152</v>
      </c>
      <c r="U6" s="1">
        <f>135+3</f>
        <v>138</v>
      </c>
      <c r="V6" s="1">
        <f>112+9</f>
        <v>121</v>
      </c>
      <c r="W6" s="1">
        <f>120+9</f>
        <v>129</v>
      </c>
      <c r="X6" s="1">
        <f>84+8</f>
        <v>92</v>
      </c>
      <c r="Y6" s="1">
        <f>79+4</f>
        <v>83</v>
      </c>
      <c r="Z6" s="1">
        <f>58+4</f>
        <v>62</v>
      </c>
      <c r="AA6" s="1">
        <v>80</v>
      </c>
      <c r="AB6" s="1">
        <f>57+3</f>
        <v>60</v>
      </c>
      <c r="AC6" s="1">
        <f>55+2</f>
        <v>57</v>
      </c>
      <c r="AD6" s="1">
        <f>54+7</f>
        <v>61</v>
      </c>
      <c r="AE6" s="1">
        <f>42+1</f>
        <v>43</v>
      </c>
      <c r="AF6" s="1">
        <f>48+2</f>
        <v>50</v>
      </c>
      <c r="AG6" s="1">
        <f>42+1</f>
        <v>43</v>
      </c>
      <c r="AH6" s="1">
        <f>33+5</f>
        <v>38</v>
      </c>
      <c r="AI6" s="1">
        <v>36</v>
      </c>
      <c r="AJ6" s="1">
        <v>29</v>
      </c>
      <c r="AK6" s="1">
        <v>28</v>
      </c>
      <c r="AL6" s="1">
        <v>21</v>
      </c>
      <c r="AM6" s="1">
        <v>27</v>
      </c>
      <c r="AN6" s="1">
        <v>34</v>
      </c>
      <c r="AO6" s="1">
        <v>28</v>
      </c>
      <c r="AP6" s="2">
        <v>24</v>
      </c>
      <c r="AQ6" s="2">
        <v>24</v>
      </c>
      <c r="AR6" s="2">
        <v>20</v>
      </c>
      <c r="AS6" s="2">
        <v>30</v>
      </c>
      <c r="AT6" s="2">
        <v>23</v>
      </c>
      <c r="AU6" s="6">
        <v>24</v>
      </c>
      <c r="AV6" s="6">
        <v>18</v>
      </c>
      <c r="AW6" s="6">
        <v>14</v>
      </c>
      <c r="AX6" s="6">
        <v>22</v>
      </c>
      <c r="AY6" s="6">
        <v>23</v>
      </c>
      <c r="AZ6" s="6">
        <v>23</v>
      </c>
      <c r="BA6" s="3">
        <v>20</v>
      </c>
      <c r="BB6" s="6">
        <v>16</v>
      </c>
      <c r="BC6" s="8">
        <v>19</v>
      </c>
      <c r="BD6" s="7">
        <v>15</v>
      </c>
      <c r="BE6" s="7">
        <v>20</v>
      </c>
      <c r="BF6" s="7">
        <v>15</v>
      </c>
      <c r="BG6" s="7">
        <v>11</v>
      </c>
      <c r="BH6" s="7">
        <v>13</v>
      </c>
      <c r="BI6" s="4">
        <v>8</v>
      </c>
      <c r="BJ6" s="7">
        <v>13</v>
      </c>
      <c r="BK6" s="22">
        <v>18</v>
      </c>
      <c r="BL6" s="7">
        <v>11</v>
      </c>
      <c r="BM6" s="23">
        <v>20</v>
      </c>
      <c r="BN6" s="4">
        <v>17</v>
      </c>
      <c r="BO6" s="4">
        <v>11</v>
      </c>
      <c r="BP6" s="4">
        <v>22</v>
      </c>
      <c r="BQ6" s="67">
        <v>15</v>
      </c>
    </row>
    <row r="7" spans="1:69" s="7" customFormat="1" x14ac:dyDescent="0.15">
      <c r="A7" s="16" t="s">
        <v>29</v>
      </c>
      <c r="B7" s="63">
        <v>663</v>
      </c>
      <c r="C7" s="64">
        <v>602</v>
      </c>
      <c r="D7" s="64">
        <v>586</v>
      </c>
      <c r="E7" s="64">
        <v>544</v>
      </c>
      <c r="F7" s="64">
        <v>481</v>
      </c>
      <c r="G7" s="63">
        <v>412</v>
      </c>
      <c r="H7" s="1">
        <f>307+41</f>
        <v>348</v>
      </c>
      <c r="I7" s="1">
        <f>338+38</f>
        <v>376</v>
      </c>
      <c r="J7" s="1">
        <f>281+34</f>
        <v>315</v>
      </c>
      <c r="K7" s="1">
        <f>273+17</f>
        <v>290</v>
      </c>
      <c r="L7" s="1">
        <f>258+25</f>
        <v>283</v>
      </c>
      <c r="M7" s="1">
        <f>205+19</f>
        <v>224</v>
      </c>
      <c r="N7" s="1">
        <f>184+21</f>
        <v>205</v>
      </c>
      <c r="O7" s="1">
        <f>172+20</f>
        <v>192</v>
      </c>
      <c r="P7" s="1">
        <f>136+17</f>
        <v>153</v>
      </c>
      <c r="Q7" s="1">
        <f>155+14</f>
        <v>169</v>
      </c>
      <c r="R7" s="1">
        <f>122+11</f>
        <v>133</v>
      </c>
      <c r="S7" s="1">
        <f>117+8</f>
        <v>125</v>
      </c>
      <c r="T7" s="1">
        <f>124+13</f>
        <v>137</v>
      </c>
      <c r="U7" s="1">
        <f>84+6</f>
        <v>90</v>
      </c>
      <c r="V7" s="1">
        <f>97+4</f>
        <v>101</v>
      </c>
      <c r="W7" s="1">
        <f>81+7</f>
        <v>88</v>
      </c>
      <c r="X7" s="1">
        <f>81+8</f>
        <v>89</v>
      </c>
      <c r="Y7" s="1">
        <f>85+4</f>
        <v>89</v>
      </c>
      <c r="Z7" s="1">
        <f>58+8</f>
        <v>66</v>
      </c>
      <c r="AA7" s="1">
        <f>55+4</f>
        <v>59</v>
      </c>
      <c r="AB7" s="1">
        <f>45+1</f>
        <v>46</v>
      </c>
      <c r="AC7" s="1">
        <f>58+4</f>
        <v>62</v>
      </c>
      <c r="AD7" s="1">
        <f>34+2</f>
        <v>36</v>
      </c>
      <c r="AE7" s="1">
        <f>47+5</f>
        <v>52</v>
      </c>
      <c r="AF7" s="1">
        <f>59+2</f>
        <v>61</v>
      </c>
      <c r="AG7" s="1">
        <f>47+4</f>
        <v>51</v>
      </c>
      <c r="AH7" s="1">
        <f>42+2</f>
        <v>44</v>
      </c>
      <c r="AI7" s="1">
        <f>44+2</f>
        <v>46</v>
      </c>
      <c r="AJ7" s="1">
        <v>41</v>
      </c>
      <c r="AK7" s="1">
        <v>40</v>
      </c>
      <c r="AL7" s="1">
        <v>30</v>
      </c>
      <c r="AM7" s="1">
        <v>33</v>
      </c>
      <c r="AN7" s="1">
        <v>36</v>
      </c>
      <c r="AO7" s="1">
        <v>37</v>
      </c>
      <c r="AP7" s="2">
        <v>44</v>
      </c>
      <c r="AQ7" s="2">
        <v>35</v>
      </c>
      <c r="AR7" s="2">
        <v>40</v>
      </c>
      <c r="AS7" s="2">
        <v>38</v>
      </c>
      <c r="AT7" s="2">
        <v>26</v>
      </c>
      <c r="AU7" s="6">
        <v>25</v>
      </c>
      <c r="AV7" s="6">
        <v>24</v>
      </c>
      <c r="AW7" s="6">
        <v>35</v>
      </c>
      <c r="AX7" s="6">
        <v>22</v>
      </c>
      <c r="AY7" s="6">
        <v>21</v>
      </c>
      <c r="AZ7" s="6">
        <v>23</v>
      </c>
      <c r="BA7" s="1">
        <v>27</v>
      </c>
      <c r="BB7" s="6">
        <v>35</v>
      </c>
      <c r="BC7" s="8">
        <v>30</v>
      </c>
      <c r="BD7" s="7">
        <v>27</v>
      </c>
      <c r="BE7" s="7">
        <v>31</v>
      </c>
      <c r="BF7" s="7">
        <v>20</v>
      </c>
      <c r="BG7" s="7">
        <v>30</v>
      </c>
      <c r="BH7" s="7">
        <v>22</v>
      </c>
      <c r="BI7" s="4">
        <v>26</v>
      </c>
      <c r="BJ7" s="7">
        <v>23</v>
      </c>
      <c r="BK7" s="22">
        <v>26</v>
      </c>
      <c r="BL7" s="7">
        <v>20</v>
      </c>
      <c r="BM7" s="23">
        <v>30</v>
      </c>
      <c r="BN7" s="4">
        <v>16</v>
      </c>
      <c r="BO7" s="4">
        <v>21</v>
      </c>
      <c r="BP7" s="4">
        <v>21</v>
      </c>
      <c r="BQ7" s="67">
        <v>26</v>
      </c>
    </row>
    <row r="8" spans="1:69" s="7" customFormat="1" x14ac:dyDescent="0.15">
      <c r="A8" s="16" t="s">
        <v>30</v>
      </c>
      <c r="B8" s="63">
        <v>582</v>
      </c>
      <c r="C8" s="64">
        <v>498</v>
      </c>
      <c r="D8" s="64">
        <v>491</v>
      </c>
      <c r="E8" s="64">
        <v>424</v>
      </c>
      <c r="F8" s="64">
        <v>344</v>
      </c>
      <c r="G8" s="63">
        <v>328</v>
      </c>
      <c r="H8" s="1">
        <f>306+27</f>
        <v>333</v>
      </c>
      <c r="I8" s="1">
        <f>275+19</f>
        <v>294</v>
      </c>
      <c r="J8" s="1">
        <f>201+27</f>
        <v>228</v>
      </c>
      <c r="K8" s="1">
        <f>202+22</f>
        <v>224</v>
      </c>
      <c r="L8" s="1">
        <f>205+20</f>
        <v>225</v>
      </c>
      <c r="M8" s="1">
        <f>136+15</f>
        <v>151</v>
      </c>
      <c r="N8" s="1">
        <f>120+23</f>
        <v>143</v>
      </c>
      <c r="O8" s="1">
        <f>149+9</f>
        <v>158</v>
      </c>
      <c r="P8" s="1">
        <f>113+11</f>
        <v>124</v>
      </c>
      <c r="Q8" s="1">
        <f>129+9</f>
        <v>138</v>
      </c>
      <c r="R8" s="1">
        <f>89+11</f>
        <v>100</v>
      </c>
      <c r="S8" s="1">
        <f>94+7</f>
        <v>101</v>
      </c>
      <c r="T8" s="1">
        <f>122+13</f>
        <v>135</v>
      </c>
      <c r="U8" s="1">
        <f>85+5</f>
        <v>90</v>
      </c>
      <c r="V8" s="1">
        <f>63+7</f>
        <v>70</v>
      </c>
      <c r="W8" s="1">
        <f>56+6</f>
        <v>62</v>
      </c>
      <c r="X8" s="1">
        <f>49+3</f>
        <v>52</v>
      </c>
      <c r="Y8" s="1">
        <f>48+4</f>
        <v>52</v>
      </c>
      <c r="Z8" s="1">
        <f>41+2</f>
        <v>43</v>
      </c>
      <c r="AA8" s="1">
        <f>38+9</f>
        <v>47</v>
      </c>
      <c r="AB8" s="1">
        <f>33+1</f>
        <v>34</v>
      </c>
      <c r="AC8" s="1">
        <f>38+1</f>
        <v>39</v>
      </c>
      <c r="AD8" s="1">
        <f>27+1</f>
        <v>28</v>
      </c>
      <c r="AE8" s="1">
        <f>32+4</f>
        <v>36</v>
      </c>
      <c r="AF8" s="1">
        <v>34</v>
      </c>
      <c r="AG8" s="1">
        <f>39+1</f>
        <v>40</v>
      </c>
      <c r="AH8" s="1">
        <v>40</v>
      </c>
      <c r="AI8" s="1">
        <f>27+5</f>
        <v>32</v>
      </c>
      <c r="AJ8" s="1">
        <v>38</v>
      </c>
      <c r="AK8" s="1">
        <v>49</v>
      </c>
      <c r="AL8" s="1">
        <v>43</v>
      </c>
      <c r="AM8" s="1">
        <v>24</v>
      </c>
      <c r="AN8" s="1">
        <v>35</v>
      </c>
      <c r="AO8" s="1">
        <v>26</v>
      </c>
      <c r="AP8" s="2">
        <v>27</v>
      </c>
      <c r="AQ8" s="2">
        <v>24</v>
      </c>
      <c r="AR8" s="2">
        <v>20</v>
      </c>
      <c r="AS8" s="2">
        <v>29</v>
      </c>
      <c r="AT8" s="2">
        <v>12</v>
      </c>
      <c r="AU8" s="6">
        <v>14</v>
      </c>
      <c r="AV8" s="6">
        <v>13</v>
      </c>
      <c r="AW8" s="6">
        <v>11</v>
      </c>
      <c r="AX8" s="6">
        <v>12</v>
      </c>
      <c r="AY8" s="6">
        <v>20</v>
      </c>
      <c r="AZ8" s="6">
        <v>16</v>
      </c>
      <c r="BA8" s="3">
        <v>25</v>
      </c>
      <c r="BB8" s="6">
        <v>15</v>
      </c>
      <c r="BC8" s="8">
        <v>19</v>
      </c>
      <c r="BD8" s="7">
        <v>11</v>
      </c>
      <c r="BE8" s="7">
        <v>16</v>
      </c>
      <c r="BF8" s="7">
        <v>14</v>
      </c>
      <c r="BG8" s="7">
        <v>10</v>
      </c>
      <c r="BH8" s="7">
        <v>24</v>
      </c>
      <c r="BI8" s="4">
        <v>14</v>
      </c>
      <c r="BJ8" s="7">
        <v>7</v>
      </c>
      <c r="BK8" s="22">
        <v>7</v>
      </c>
      <c r="BL8" s="7">
        <v>17</v>
      </c>
      <c r="BM8" s="23">
        <v>19</v>
      </c>
      <c r="BN8" s="4">
        <v>12</v>
      </c>
      <c r="BO8" s="4">
        <v>15</v>
      </c>
      <c r="BP8" s="4">
        <v>12</v>
      </c>
      <c r="BQ8" s="67">
        <v>10</v>
      </c>
    </row>
    <row r="9" spans="1:69" s="7" customFormat="1" x14ac:dyDescent="0.15">
      <c r="A9" s="16" t="s">
        <v>31</v>
      </c>
      <c r="B9" s="63">
        <v>550</v>
      </c>
      <c r="C9" s="64">
        <v>492</v>
      </c>
      <c r="D9" s="64">
        <v>484</v>
      </c>
      <c r="E9" s="64">
        <v>383</v>
      </c>
      <c r="F9" s="64">
        <v>344</v>
      </c>
      <c r="G9" s="63">
        <v>309</v>
      </c>
      <c r="H9" s="1">
        <f>268+27</f>
        <v>295</v>
      </c>
      <c r="I9" s="1">
        <f>242+26</f>
        <v>268</v>
      </c>
      <c r="J9" s="1">
        <f>186+24</f>
        <v>210</v>
      </c>
      <c r="K9" s="1">
        <f>189+19</f>
        <v>208</v>
      </c>
      <c r="L9" s="1">
        <f>214+19</f>
        <v>233</v>
      </c>
      <c r="M9" s="1">
        <f>165+9</f>
        <v>174</v>
      </c>
      <c r="N9" s="1">
        <f>136+13</f>
        <v>149</v>
      </c>
      <c r="O9" s="1">
        <f>140+13</f>
        <v>153</v>
      </c>
      <c r="P9" s="1">
        <f>136+7</f>
        <v>143</v>
      </c>
      <c r="Q9" s="1">
        <f>112+9</f>
        <v>121</v>
      </c>
      <c r="R9" s="1">
        <f>100+11</f>
        <v>111</v>
      </c>
      <c r="S9" s="1">
        <f>104+9</f>
        <v>113</v>
      </c>
      <c r="T9" s="1">
        <f>95+4</f>
        <v>99</v>
      </c>
      <c r="U9" s="1">
        <f>84+7</f>
        <v>91</v>
      </c>
      <c r="V9" s="1">
        <f>87+5</f>
        <v>92</v>
      </c>
      <c r="W9" s="1">
        <f>72+4</f>
        <v>76</v>
      </c>
      <c r="X9" s="1">
        <f>66+1</f>
        <v>67</v>
      </c>
      <c r="Y9" s="1">
        <f>61+2</f>
        <v>63</v>
      </c>
      <c r="Z9" s="1">
        <v>49</v>
      </c>
      <c r="AA9" s="1">
        <f>45+3</f>
        <v>48</v>
      </c>
      <c r="AB9" s="1">
        <v>42</v>
      </c>
      <c r="AC9" s="1">
        <v>32</v>
      </c>
      <c r="AD9" s="1">
        <f>38+2</f>
        <v>40</v>
      </c>
      <c r="AE9" s="1">
        <f>30+3</f>
        <v>33</v>
      </c>
      <c r="AF9" s="1">
        <f>27+1</f>
        <v>28</v>
      </c>
      <c r="AG9" s="1">
        <v>28</v>
      </c>
      <c r="AH9" s="1">
        <f>30+2</f>
        <v>32</v>
      </c>
      <c r="AI9" s="1">
        <f>16+1</f>
        <v>17</v>
      </c>
      <c r="AJ9" s="1">
        <v>30</v>
      </c>
      <c r="AK9" s="1">
        <v>31</v>
      </c>
      <c r="AL9" s="1">
        <v>29</v>
      </c>
      <c r="AM9" s="1">
        <v>18</v>
      </c>
      <c r="AN9" s="1">
        <v>11</v>
      </c>
      <c r="AO9" s="1">
        <v>18</v>
      </c>
      <c r="AP9" s="2">
        <v>24</v>
      </c>
      <c r="AQ9" s="2">
        <v>32</v>
      </c>
      <c r="AR9" s="2">
        <v>19</v>
      </c>
      <c r="AS9" s="2">
        <v>18</v>
      </c>
      <c r="AT9" s="2">
        <v>21</v>
      </c>
      <c r="AU9" s="6">
        <v>22</v>
      </c>
      <c r="AV9" s="6">
        <v>17</v>
      </c>
      <c r="AW9" s="6">
        <v>15</v>
      </c>
      <c r="AX9" s="6">
        <v>20</v>
      </c>
      <c r="AY9" s="6">
        <v>24</v>
      </c>
      <c r="AZ9" s="6">
        <v>21</v>
      </c>
      <c r="BA9" s="1">
        <v>27</v>
      </c>
      <c r="BB9" s="6">
        <v>17</v>
      </c>
      <c r="BC9" s="8">
        <v>17</v>
      </c>
      <c r="BD9" s="7">
        <v>13</v>
      </c>
      <c r="BE9" s="7">
        <v>15</v>
      </c>
      <c r="BF9" s="7">
        <v>19</v>
      </c>
      <c r="BG9" s="7">
        <v>16</v>
      </c>
      <c r="BH9" s="7">
        <v>18</v>
      </c>
      <c r="BI9" s="4">
        <v>24</v>
      </c>
      <c r="BJ9" s="7">
        <v>16</v>
      </c>
      <c r="BK9" s="22">
        <v>14</v>
      </c>
      <c r="BL9" s="7">
        <v>12</v>
      </c>
      <c r="BM9" s="23">
        <v>9</v>
      </c>
      <c r="BN9" s="4">
        <v>13</v>
      </c>
      <c r="BO9" s="4">
        <v>10</v>
      </c>
      <c r="BP9" s="4">
        <v>13</v>
      </c>
      <c r="BQ9" s="67">
        <v>15</v>
      </c>
    </row>
    <row r="10" spans="1:69" s="7" customFormat="1" x14ac:dyDescent="0.15">
      <c r="A10" s="16" t="s">
        <v>32</v>
      </c>
      <c r="B10" s="63">
        <v>878</v>
      </c>
      <c r="C10" s="64">
        <v>792</v>
      </c>
      <c r="D10" s="64">
        <v>710</v>
      </c>
      <c r="E10" s="64">
        <v>602</v>
      </c>
      <c r="F10" s="64">
        <v>491</v>
      </c>
      <c r="G10" s="63">
        <v>532</v>
      </c>
      <c r="H10" s="1">
        <f>336+48</f>
        <v>384</v>
      </c>
      <c r="I10" s="1">
        <f>380+40</f>
        <v>420</v>
      </c>
      <c r="J10" s="1">
        <f>307+29</f>
        <v>336</v>
      </c>
      <c r="K10" s="1">
        <f>309+26</f>
        <v>335</v>
      </c>
      <c r="L10" s="1">
        <f>288+31</f>
        <v>319</v>
      </c>
      <c r="M10" s="1">
        <f>249+25</f>
        <v>274</v>
      </c>
      <c r="N10" s="1">
        <f>215+23</f>
        <v>238</v>
      </c>
      <c r="O10" s="1">
        <f>231+15</f>
        <v>246</v>
      </c>
      <c r="P10" s="1">
        <f>208+17</f>
        <v>225</v>
      </c>
      <c r="Q10" s="1">
        <f>214+17</f>
        <v>231</v>
      </c>
      <c r="R10" s="1">
        <f>168+11</f>
        <v>179</v>
      </c>
      <c r="S10" s="1">
        <f>177+14</f>
        <v>191</v>
      </c>
      <c r="T10" s="1">
        <f>164+14</f>
        <v>178</v>
      </c>
      <c r="U10" s="1">
        <f>158+6</f>
        <v>164</v>
      </c>
      <c r="V10" s="1">
        <f>152+9</f>
        <v>161</v>
      </c>
      <c r="W10" s="1">
        <f>132+10</f>
        <v>142</v>
      </c>
      <c r="X10" s="1">
        <f>121+10</f>
        <v>131</v>
      </c>
      <c r="Y10" s="1">
        <f>117+11</f>
        <v>128</v>
      </c>
      <c r="Z10" s="1">
        <f>94+4</f>
        <v>98</v>
      </c>
      <c r="AA10" s="1">
        <f>95+8</f>
        <v>103</v>
      </c>
      <c r="AB10" s="1">
        <f>76+7</f>
        <v>83</v>
      </c>
      <c r="AC10" s="1">
        <f>69+5</f>
        <v>74</v>
      </c>
      <c r="AD10" s="1">
        <f>80+5</f>
        <v>85</v>
      </c>
      <c r="AE10" s="1">
        <f>68+3</f>
        <v>71</v>
      </c>
      <c r="AF10" s="1">
        <v>75</v>
      </c>
      <c r="AG10" s="1">
        <f>76+2</f>
        <v>78</v>
      </c>
      <c r="AH10" s="1">
        <v>81</v>
      </c>
      <c r="AI10" s="1">
        <f>74+6</f>
        <v>80</v>
      </c>
      <c r="AJ10" s="1">
        <v>53</v>
      </c>
      <c r="AK10" s="1">
        <v>62</v>
      </c>
      <c r="AL10" s="1">
        <v>39</v>
      </c>
      <c r="AM10" s="1">
        <v>63</v>
      </c>
      <c r="AN10" s="1">
        <v>60</v>
      </c>
      <c r="AO10" s="1">
        <v>47</v>
      </c>
      <c r="AP10" s="2">
        <v>50</v>
      </c>
      <c r="AQ10" s="2">
        <v>35</v>
      </c>
      <c r="AR10" s="2">
        <v>35</v>
      </c>
      <c r="AS10" s="2">
        <v>26</v>
      </c>
      <c r="AT10" s="2">
        <v>41</v>
      </c>
      <c r="AU10" s="6">
        <v>38</v>
      </c>
      <c r="AV10" s="6">
        <v>42</v>
      </c>
      <c r="AW10" s="6">
        <v>35</v>
      </c>
      <c r="AX10" s="6">
        <v>25</v>
      </c>
      <c r="AY10" s="6">
        <v>32</v>
      </c>
      <c r="AZ10" s="6">
        <v>28</v>
      </c>
      <c r="BA10" s="3">
        <v>24</v>
      </c>
      <c r="BB10" s="6">
        <v>26</v>
      </c>
      <c r="BC10" s="8">
        <v>25</v>
      </c>
      <c r="BD10" s="7">
        <v>26</v>
      </c>
      <c r="BE10" s="7">
        <v>23</v>
      </c>
      <c r="BF10" s="7">
        <v>21</v>
      </c>
      <c r="BG10" s="7">
        <v>11</v>
      </c>
      <c r="BH10" s="7">
        <v>30</v>
      </c>
      <c r="BI10" s="4">
        <v>20</v>
      </c>
      <c r="BJ10" s="7">
        <v>28</v>
      </c>
      <c r="BK10" s="22">
        <v>18</v>
      </c>
      <c r="BL10" s="7">
        <v>33</v>
      </c>
      <c r="BM10" s="23">
        <v>29</v>
      </c>
      <c r="BN10" s="4">
        <v>26</v>
      </c>
      <c r="BO10" s="4">
        <v>15</v>
      </c>
      <c r="BP10" s="4">
        <v>22</v>
      </c>
      <c r="BQ10" s="67">
        <v>16</v>
      </c>
    </row>
    <row r="11" spans="1:69" s="7" customFormat="1" x14ac:dyDescent="0.15">
      <c r="A11" s="16" t="s">
        <v>33</v>
      </c>
      <c r="B11" s="63">
        <v>748</v>
      </c>
      <c r="C11" s="64">
        <v>728</v>
      </c>
      <c r="D11" s="64">
        <v>637</v>
      </c>
      <c r="E11" s="64">
        <v>535</v>
      </c>
      <c r="F11" s="64">
        <v>477</v>
      </c>
      <c r="G11" s="63">
        <v>487</v>
      </c>
      <c r="H11" s="1">
        <f>413+57</f>
        <v>470</v>
      </c>
      <c r="I11" s="1">
        <f>354+40</f>
        <v>394</v>
      </c>
      <c r="J11" s="1">
        <f>320+31</f>
        <v>351</v>
      </c>
      <c r="K11" s="1">
        <f>275+16</f>
        <v>291</v>
      </c>
      <c r="L11" s="1">
        <f>314+17</f>
        <v>331</v>
      </c>
      <c r="M11" s="1">
        <f>253+14</f>
        <v>267</v>
      </c>
      <c r="N11" s="1">
        <f>226+15</f>
        <v>241</v>
      </c>
      <c r="O11" s="1">
        <f>239+13</f>
        <v>252</v>
      </c>
      <c r="P11" s="1">
        <f>195+15</f>
        <v>210</v>
      </c>
      <c r="Q11" s="1">
        <f>223+10</f>
        <v>233</v>
      </c>
      <c r="R11" s="1">
        <f>170+5</f>
        <v>175</v>
      </c>
      <c r="S11" s="1">
        <f>174+11</f>
        <v>185</v>
      </c>
      <c r="T11" s="1">
        <f>152+7</f>
        <v>159</v>
      </c>
      <c r="U11" s="1">
        <f>132+12</f>
        <v>144</v>
      </c>
      <c r="V11" s="1">
        <f>119+12</f>
        <v>131</v>
      </c>
      <c r="W11" s="1">
        <f>111+6</f>
        <v>117</v>
      </c>
      <c r="X11" s="1">
        <f>106+3</f>
        <v>109</v>
      </c>
      <c r="Y11" s="1">
        <f>98+5</f>
        <v>103</v>
      </c>
      <c r="Z11" s="1">
        <f>100+5</f>
        <v>105</v>
      </c>
      <c r="AA11" s="1">
        <f>91+4</f>
        <v>95</v>
      </c>
      <c r="AB11" s="1">
        <f>82+4</f>
        <v>86</v>
      </c>
      <c r="AC11" s="1">
        <f>68+5</f>
        <v>73</v>
      </c>
      <c r="AD11" s="1">
        <f>69+5</f>
        <v>74</v>
      </c>
      <c r="AE11" s="1">
        <f>72+4</f>
        <v>76</v>
      </c>
      <c r="AF11" s="1">
        <f>77+2</f>
        <v>79</v>
      </c>
      <c r="AG11" s="1">
        <f>55+5</f>
        <v>60</v>
      </c>
      <c r="AH11" s="1">
        <v>70</v>
      </c>
      <c r="AI11" s="1">
        <f>63+5</f>
        <v>68</v>
      </c>
      <c r="AJ11" s="1">
        <v>61</v>
      </c>
      <c r="AK11" s="1">
        <v>63</v>
      </c>
      <c r="AL11" s="1">
        <v>51</v>
      </c>
      <c r="AM11" s="1">
        <v>36</v>
      </c>
      <c r="AN11" s="1">
        <v>51</v>
      </c>
      <c r="AO11" s="1">
        <v>38</v>
      </c>
      <c r="AP11" s="2">
        <v>57</v>
      </c>
      <c r="AQ11" s="2">
        <v>50</v>
      </c>
      <c r="AR11" s="2">
        <v>67</v>
      </c>
      <c r="AS11" s="2">
        <v>45</v>
      </c>
      <c r="AT11" s="2">
        <v>49</v>
      </c>
      <c r="AU11" s="6">
        <v>38</v>
      </c>
      <c r="AV11" s="6">
        <v>31</v>
      </c>
      <c r="AW11" s="6">
        <v>44</v>
      </c>
      <c r="AX11" s="6">
        <v>33</v>
      </c>
      <c r="AY11" s="6">
        <v>44</v>
      </c>
      <c r="AZ11" s="6">
        <v>30</v>
      </c>
      <c r="BA11" s="1">
        <v>41</v>
      </c>
      <c r="BB11" s="6">
        <v>42</v>
      </c>
      <c r="BC11" s="8">
        <v>36</v>
      </c>
      <c r="BD11" s="7">
        <v>33</v>
      </c>
      <c r="BE11" s="7">
        <v>46</v>
      </c>
      <c r="BF11" s="7">
        <v>49</v>
      </c>
      <c r="BG11" s="7">
        <v>45</v>
      </c>
      <c r="BH11" s="7">
        <v>47</v>
      </c>
      <c r="BI11" s="4">
        <v>47</v>
      </c>
      <c r="BJ11" s="7">
        <v>45</v>
      </c>
      <c r="BK11" s="22">
        <v>33</v>
      </c>
      <c r="BL11" s="7">
        <v>57</v>
      </c>
      <c r="BM11" s="23">
        <v>61</v>
      </c>
      <c r="BN11" s="4">
        <v>43</v>
      </c>
      <c r="BO11" s="4">
        <v>46</v>
      </c>
      <c r="BP11" s="4">
        <v>30</v>
      </c>
      <c r="BQ11" s="67">
        <v>43</v>
      </c>
    </row>
    <row r="12" spans="1:69" s="7" customFormat="1" x14ac:dyDescent="0.15">
      <c r="A12" s="16" t="s">
        <v>34</v>
      </c>
      <c r="B12" s="63">
        <v>604</v>
      </c>
      <c r="C12" s="64">
        <v>537</v>
      </c>
      <c r="D12" s="64">
        <v>503</v>
      </c>
      <c r="E12" s="64">
        <v>432</v>
      </c>
      <c r="F12" s="64">
        <v>422</v>
      </c>
      <c r="G12" s="63">
        <v>343</v>
      </c>
      <c r="H12" s="1">
        <f>317+29</f>
        <v>346</v>
      </c>
      <c r="I12" s="1">
        <f>309+25</f>
        <v>334</v>
      </c>
      <c r="J12" s="1">
        <f>260+19</f>
        <v>279</v>
      </c>
      <c r="K12" s="1">
        <f>266+15</f>
        <v>281</v>
      </c>
      <c r="L12" s="1">
        <f>227+19</f>
        <v>246</v>
      </c>
      <c r="M12" s="1">
        <f>236+15</f>
        <v>251</v>
      </c>
      <c r="N12" s="1">
        <f>201+7</f>
        <v>208</v>
      </c>
      <c r="O12" s="1">
        <f>194+10</f>
        <v>204</v>
      </c>
      <c r="P12" s="1">
        <f>177+5</f>
        <v>182</v>
      </c>
      <c r="Q12" s="1">
        <f>191+15</f>
        <v>206</v>
      </c>
      <c r="R12" s="1">
        <f>179+9</f>
        <v>188</v>
      </c>
      <c r="S12" s="1">
        <f>144+9</f>
        <v>153</v>
      </c>
      <c r="T12" s="1">
        <f>124+4</f>
        <v>128</v>
      </c>
      <c r="U12" s="1">
        <f>137+8</f>
        <v>145</v>
      </c>
      <c r="V12" s="1">
        <f>129+5</f>
        <v>134</v>
      </c>
      <c r="W12" s="1">
        <f>113+6</f>
        <v>119</v>
      </c>
      <c r="X12" s="1">
        <f>100+2</f>
        <v>102</v>
      </c>
      <c r="Y12" s="1">
        <f>123+3</f>
        <v>126</v>
      </c>
      <c r="Z12" s="1">
        <f>84+4</f>
        <v>88</v>
      </c>
      <c r="AA12" s="1">
        <f>70+2</f>
        <v>72</v>
      </c>
      <c r="AB12" s="1">
        <f>58+2</f>
        <v>60</v>
      </c>
      <c r="AC12" s="1">
        <f>65+6</f>
        <v>71</v>
      </c>
      <c r="AD12" s="1">
        <f>59+4</f>
        <v>63</v>
      </c>
      <c r="AE12" s="1">
        <f>56+3</f>
        <v>59</v>
      </c>
      <c r="AF12" s="1">
        <f>70+2</f>
        <v>72</v>
      </c>
      <c r="AG12" s="1">
        <f>74+2</f>
        <v>76</v>
      </c>
      <c r="AH12" s="1">
        <f>40+3</f>
        <v>43</v>
      </c>
      <c r="AI12" s="1">
        <f>58+1</f>
        <v>59</v>
      </c>
      <c r="AJ12" s="1">
        <v>51</v>
      </c>
      <c r="AK12" s="1">
        <v>55</v>
      </c>
      <c r="AL12" s="1">
        <v>29</v>
      </c>
      <c r="AM12" s="1">
        <v>41</v>
      </c>
      <c r="AN12" s="1">
        <v>40</v>
      </c>
      <c r="AO12" s="1">
        <v>32</v>
      </c>
      <c r="AP12" s="2">
        <v>38</v>
      </c>
      <c r="AQ12" s="2">
        <v>45</v>
      </c>
      <c r="AR12" s="2">
        <v>25</v>
      </c>
      <c r="AS12" s="2">
        <v>30</v>
      </c>
      <c r="AT12" s="2">
        <v>35</v>
      </c>
      <c r="AU12" s="6">
        <v>39</v>
      </c>
      <c r="AV12" s="6">
        <v>32</v>
      </c>
      <c r="AW12" s="6">
        <v>29</v>
      </c>
      <c r="AX12" s="6">
        <v>35</v>
      </c>
      <c r="AY12" s="6">
        <v>35</v>
      </c>
      <c r="AZ12" s="6">
        <v>41</v>
      </c>
      <c r="BA12" s="3">
        <v>32</v>
      </c>
      <c r="BB12" s="6">
        <v>27</v>
      </c>
      <c r="BC12" s="8">
        <v>19</v>
      </c>
      <c r="BD12" s="7">
        <v>35</v>
      </c>
      <c r="BE12" s="7">
        <v>16</v>
      </c>
      <c r="BF12" s="7">
        <v>16</v>
      </c>
      <c r="BG12" s="7">
        <v>30</v>
      </c>
      <c r="BH12" s="7">
        <v>14</v>
      </c>
      <c r="BI12" s="4">
        <v>32</v>
      </c>
      <c r="BJ12" s="7">
        <v>22</v>
      </c>
      <c r="BK12" s="22">
        <v>29</v>
      </c>
      <c r="BL12" s="7">
        <v>30</v>
      </c>
      <c r="BM12" s="23">
        <v>28</v>
      </c>
      <c r="BN12" s="4">
        <v>30</v>
      </c>
      <c r="BO12" s="4">
        <v>35</v>
      </c>
      <c r="BP12" s="4">
        <v>31</v>
      </c>
      <c r="BQ12" s="67">
        <v>22</v>
      </c>
    </row>
    <row r="13" spans="1:69" s="7" customFormat="1" x14ac:dyDescent="0.15">
      <c r="A13" s="16" t="s">
        <v>35</v>
      </c>
      <c r="B13" s="63">
        <v>570</v>
      </c>
      <c r="C13" s="64">
        <v>496</v>
      </c>
      <c r="D13" s="64">
        <v>522</v>
      </c>
      <c r="E13" s="64">
        <v>416</v>
      </c>
      <c r="F13" s="64">
        <v>406</v>
      </c>
      <c r="G13" s="63">
        <v>384</v>
      </c>
      <c r="H13" s="1">
        <f>268+25</f>
        <v>293</v>
      </c>
      <c r="I13" s="1">
        <f>277+33</f>
        <v>310</v>
      </c>
      <c r="J13" s="1">
        <f>245+19</f>
        <v>264</v>
      </c>
      <c r="K13" s="1">
        <f>249+28</f>
        <v>277</v>
      </c>
      <c r="L13" s="1">
        <f>218+17</f>
        <v>235</v>
      </c>
      <c r="M13" s="1">
        <f>223+14</f>
        <v>237</v>
      </c>
      <c r="N13" s="1">
        <f>185+11</f>
        <v>196</v>
      </c>
      <c r="O13" s="1">
        <f>169+17</f>
        <v>186</v>
      </c>
      <c r="P13" s="1">
        <f>161+8</f>
        <v>169</v>
      </c>
      <c r="Q13" s="1">
        <f>157+10</f>
        <v>167</v>
      </c>
      <c r="R13" s="1">
        <f>141+7</f>
        <v>148</v>
      </c>
      <c r="S13" s="1">
        <f>106+6</f>
        <v>112</v>
      </c>
      <c r="T13" s="1">
        <f>116+6</f>
        <v>122</v>
      </c>
      <c r="U13" s="1">
        <f>102+9</f>
        <v>111</v>
      </c>
      <c r="V13" s="1">
        <f>103+5</f>
        <v>108</v>
      </c>
      <c r="W13" s="1">
        <f>91+8</f>
        <v>99</v>
      </c>
      <c r="X13" s="1">
        <f>88+2</f>
        <v>90</v>
      </c>
      <c r="Y13" s="1">
        <f>84+2</f>
        <v>86</v>
      </c>
      <c r="Z13" s="1">
        <f>57+5</f>
        <v>62</v>
      </c>
      <c r="AA13" s="1">
        <f>59+5</f>
        <v>64</v>
      </c>
      <c r="AB13" s="1">
        <f>50+3</f>
        <v>53</v>
      </c>
      <c r="AC13" s="1">
        <f>56+2</f>
        <v>58</v>
      </c>
      <c r="AD13" s="1">
        <f>60+6</f>
        <v>66</v>
      </c>
      <c r="AE13" s="1">
        <f>69+5</f>
        <v>74</v>
      </c>
      <c r="AF13" s="1">
        <f>52+4</f>
        <v>56</v>
      </c>
      <c r="AG13" s="1">
        <f>42+5</f>
        <v>47</v>
      </c>
      <c r="AH13" s="1">
        <f>48+5</f>
        <v>53</v>
      </c>
      <c r="AI13" s="1">
        <f>44+2</f>
        <v>46</v>
      </c>
      <c r="AJ13" s="1">
        <v>52</v>
      </c>
      <c r="AK13" s="1">
        <v>46</v>
      </c>
      <c r="AL13" s="1">
        <v>33</v>
      </c>
      <c r="AM13" s="1">
        <v>39</v>
      </c>
      <c r="AN13" s="1">
        <v>42</v>
      </c>
      <c r="AO13" s="1">
        <v>47</v>
      </c>
      <c r="AP13" s="2">
        <v>29</v>
      </c>
      <c r="AQ13" s="2">
        <v>37</v>
      </c>
      <c r="AR13" s="2">
        <v>37</v>
      </c>
      <c r="AS13" s="2">
        <v>43</v>
      </c>
      <c r="AT13" s="2">
        <v>45</v>
      </c>
      <c r="AU13" s="6">
        <v>34</v>
      </c>
      <c r="AV13" s="6">
        <v>41</v>
      </c>
      <c r="AW13" s="6">
        <v>30</v>
      </c>
      <c r="AX13" s="6">
        <v>39</v>
      </c>
      <c r="AY13" s="6">
        <v>37</v>
      </c>
      <c r="AZ13" s="6">
        <v>28</v>
      </c>
      <c r="BA13" s="1">
        <v>28</v>
      </c>
      <c r="BB13" s="6">
        <v>27</v>
      </c>
      <c r="BC13" s="8">
        <v>32</v>
      </c>
      <c r="BD13" s="7">
        <v>32</v>
      </c>
      <c r="BE13" s="7">
        <v>36</v>
      </c>
      <c r="BF13" s="7">
        <v>34</v>
      </c>
      <c r="BG13" s="7">
        <v>23</v>
      </c>
      <c r="BH13" s="7">
        <v>33</v>
      </c>
      <c r="BI13" s="4">
        <v>36</v>
      </c>
      <c r="BJ13" s="7">
        <v>18</v>
      </c>
      <c r="BK13" s="22">
        <v>24</v>
      </c>
      <c r="BL13" s="7">
        <v>28</v>
      </c>
      <c r="BM13" s="23">
        <v>23</v>
      </c>
      <c r="BN13" s="4">
        <v>24</v>
      </c>
      <c r="BO13" s="4">
        <v>18</v>
      </c>
      <c r="BP13" s="4">
        <v>17</v>
      </c>
      <c r="BQ13" s="67">
        <v>16</v>
      </c>
    </row>
    <row r="14" spans="1:69" s="7" customFormat="1" x14ac:dyDescent="0.15">
      <c r="A14" s="16" t="s">
        <v>36</v>
      </c>
      <c r="B14" s="63">
        <v>992</v>
      </c>
      <c r="C14" s="64">
        <v>842</v>
      </c>
      <c r="D14" s="64">
        <v>822</v>
      </c>
      <c r="E14" s="64">
        <v>715</v>
      </c>
      <c r="F14" s="64">
        <v>594</v>
      </c>
      <c r="G14" s="63">
        <v>598</v>
      </c>
      <c r="H14" s="1">
        <f>456+56</f>
        <v>512</v>
      </c>
      <c r="I14" s="1">
        <f>464+48</f>
        <v>512</v>
      </c>
      <c r="J14" s="1">
        <f>380+40</f>
        <v>420</v>
      </c>
      <c r="K14" s="1">
        <f>439+41</f>
        <v>480</v>
      </c>
      <c r="L14" s="1">
        <f>388+29</f>
        <v>417</v>
      </c>
      <c r="M14" s="1">
        <f>417+33</f>
        <v>450</v>
      </c>
      <c r="N14" s="1">
        <f>326+19</f>
        <v>345</v>
      </c>
      <c r="O14" s="1">
        <f>366+21</f>
        <v>387</v>
      </c>
      <c r="P14" s="1">
        <v>387</v>
      </c>
      <c r="Q14" s="1">
        <f>319+19</f>
        <v>338</v>
      </c>
      <c r="R14" s="1">
        <f>278+25</f>
        <v>303</v>
      </c>
      <c r="S14" s="1">
        <f>263+20</f>
        <v>283</v>
      </c>
      <c r="T14" s="1">
        <f>293+11</f>
        <v>304</v>
      </c>
      <c r="U14" s="1">
        <f>267+17</f>
        <v>284</v>
      </c>
      <c r="V14" s="1">
        <f>251+16</f>
        <v>267</v>
      </c>
      <c r="W14" s="1">
        <f>217+12</f>
        <v>229</v>
      </c>
      <c r="X14" s="1">
        <f>227+10</f>
        <v>237</v>
      </c>
      <c r="Y14" s="1">
        <f>232+7</f>
        <v>239</v>
      </c>
      <c r="Z14" s="1">
        <f>155+10</f>
        <v>165</v>
      </c>
      <c r="AA14" s="1">
        <f>158+9</f>
        <v>167</v>
      </c>
      <c r="AB14" s="1">
        <f>154+9</f>
        <v>163</v>
      </c>
      <c r="AC14" s="1">
        <f>150+10</f>
        <v>160</v>
      </c>
      <c r="AD14" s="1">
        <f>167+5</f>
        <v>172</v>
      </c>
      <c r="AE14" s="1">
        <f>164+5</f>
        <v>169</v>
      </c>
      <c r="AF14" s="1">
        <f>129+6</f>
        <v>135</v>
      </c>
      <c r="AG14" s="1">
        <f>132+6</f>
        <v>138</v>
      </c>
      <c r="AH14" s="1">
        <f>126+4</f>
        <v>130</v>
      </c>
      <c r="AI14" s="1">
        <f>121+3</f>
        <v>124</v>
      </c>
      <c r="AJ14" s="1">
        <v>114</v>
      </c>
      <c r="AK14" s="1">
        <v>113</v>
      </c>
      <c r="AL14" s="1">
        <v>123</v>
      </c>
      <c r="AM14" s="1">
        <v>121</v>
      </c>
      <c r="AN14" s="1">
        <v>111</v>
      </c>
      <c r="AO14" s="1">
        <v>101</v>
      </c>
      <c r="AP14" s="2">
        <v>131</v>
      </c>
      <c r="AQ14" s="2">
        <v>107</v>
      </c>
      <c r="AR14" s="2">
        <v>111</v>
      </c>
      <c r="AS14" s="2">
        <v>130</v>
      </c>
      <c r="AT14" s="2">
        <v>129</v>
      </c>
      <c r="AU14" s="6">
        <v>108</v>
      </c>
      <c r="AV14" s="6">
        <v>135</v>
      </c>
      <c r="AW14" s="6">
        <v>102</v>
      </c>
      <c r="AX14" s="6">
        <v>110</v>
      </c>
      <c r="AY14" s="6">
        <v>101</v>
      </c>
      <c r="AZ14" s="6">
        <v>97</v>
      </c>
      <c r="BA14" s="3">
        <v>95</v>
      </c>
      <c r="BB14" s="6">
        <v>92</v>
      </c>
      <c r="BC14" s="8">
        <v>94</v>
      </c>
      <c r="BD14" s="7">
        <v>98</v>
      </c>
      <c r="BE14" s="7">
        <v>81</v>
      </c>
      <c r="BF14" s="7">
        <v>114</v>
      </c>
      <c r="BG14" s="7">
        <v>107</v>
      </c>
      <c r="BH14" s="7">
        <v>78</v>
      </c>
      <c r="BI14" s="4">
        <v>88</v>
      </c>
      <c r="BJ14" s="7">
        <v>87</v>
      </c>
      <c r="BK14" s="22">
        <v>85</v>
      </c>
      <c r="BL14" s="7">
        <v>113</v>
      </c>
      <c r="BM14" s="23">
        <v>97</v>
      </c>
      <c r="BN14" s="4">
        <v>101</v>
      </c>
      <c r="BO14" s="4">
        <v>84</v>
      </c>
      <c r="BP14" s="4">
        <v>88</v>
      </c>
      <c r="BQ14" s="67">
        <v>77</v>
      </c>
    </row>
    <row r="15" spans="1:69" s="7" customFormat="1" x14ac:dyDescent="0.15">
      <c r="A15" s="16" t="s">
        <v>37</v>
      </c>
      <c r="B15" s="63">
        <v>941</v>
      </c>
      <c r="C15" s="64">
        <v>867</v>
      </c>
      <c r="D15" s="64">
        <v>837</v>
      </c>
      <c r="E15" s="64">
        <v>698</v>
      </c>
      <c r="F15" s="64">
        <v>640</v>
      </c>
      <c r="G15" s="63">
        <v>639</v>
      </c>
      <c r="H15" s="1">
        <f>508+45</f>
        <v>553</v>
      </c>
      <c r="I15" s="1">
        <f>532+35</f>
        <v>567</v>
      </c>
      <c r="J15" s="1">
        <f>463+23</f>
        <v>486</v>
      </c>
      <c r="K15" s="1">
        <f>429+40</f>
        <v>469</v>
      </c>
      <c r="L15" s="1">
        <f>432+30</f>
        <v>462</v>
      </c>
      <c r="M15" s="1">
        <f>375+16</f>
        <v>391</v>
      </c>
      <c r="N15" s="1">
        <f>387+20</f>
        <v>407</v>
      </c>
      <c r="O15" s="1">
        <f>327+18</f>
        <v>345</v>
      </c>
      <c r="P15" s="1">
        <f>323+24</f>
        <v>347</v>
      </c>
      <c r="Q15" s="1">
        <f>320+25</f>
        <v>345</v>
      </c>
      <c r="R15" s="1">
        <f>283+17</f>
        <v>300</v>
      </c>
      <c r="S15" s="1">
        <f>278+15</f>
        <v>293</v>
      </c>
      <c r="T15" s="1">
        <f>243+15</f>
        <v>258</v>
      </c>
      <c r="U15" s="1">
        <f>293+19</f>
        <v>312</v>
      </c>
      <c r="V15" s="1">
        <f>225+10</f>
        <v>235</v>
      </c>
      <c r="W15" s="1">
        <f>221+8</f>
        <v>229</v>
      </c>
      <c r="X15" s="1">
        <f>187+13</f>
        <v>200</v>
      </c>
      <c r="Y15" s="1">
        <f>168+5</f>
        <v>173</v>
      </c>
      <c r="Z15" s="1">
        <f>124+11</f>
        <v>135</v>
      </c>
      <c r="AA15" s="1">
        <f>141+13</f>
        <v>154</v>
      </c>
      <c r="AB15" s="1">
        <f>132+6</f>
        <v>138</v>
      </c>
      <c r="AC15" s="1">
        <f>127+7</f>
        <v>134</v>
      </c>
      <c r="AD15" s="1">
        <f>144+6</f>
        <v>150</v>
      </c>
      <c r="AE15" s="1">
        <f>113+7</f>
        <v>120</v>
      </c>
      <c r="AF15" s="1">
        <f>112+2</f>
        <v>114</v>
      </c>
      <c r="AG15" s="1">
        <f>96+6</f>
        <v>102</v>
      </c>
      <c r="AH15" s="1">
        <f>108+10</f>
        <v>118</v>
      </c>
      <c r="AI15" s="1">
        <f>93+2</f>
        <v>95</v>
      </c>
      <c r="AJ15" s="1">
        <v>109</v>
      </c>
      <c r="AK15" s="1">
        <v>124</v>
      </c>
      <c r="AL15" s="1">
        <v>90</v>
      </c>
      <c r="AM15" s="1">
        <v>112</v>
      </c>
      <c r="AN15" s="1">
        <v>95</v>
      </c>
      <c r="AO15" s="1">
        <v>104</v>
      </c>
      <c r="AP15" s="2">
        <v>131</v>
      </c>
      <c r="AQ15" s="2">
        <v>96</v>
      </c>
      <c r="AR15" s="2">
        <v>90</v>
      </c>
      <c r="AS15" s="2">
        <v>109</v>
      </c>
      <c r="AT15" s="2">
        <v>102</v>
      </c>
      <c r="AU15" s="6">
        <v>94</v>
      </c>
      <c r="AV15" s="6">
        <v>86</v>
      </c>
      <c r="AW15" s="6">
        <v>91</v>
      </c>
      <c r="AX15" s="6">
        <v>102</v>
      </c>
      <c r="AY15" s="6">
        <v>91</v>
      </c>
      <c r="AZ15" s="6">
        <v>88</v>
      </c>
      <c r="BA15" s="1">
        <v>103</v>
      </c>
      <c r="BB15" s="6">
        <v>96</v>
      </c>
      <c r="BC15" s="8">
        <v>94</v>
      </c>
      <c r="BD15" s="7">
        <v>77</v>
      </c>
      <c r="BE15" s="7">
        <v>89</v>
      </c>
      <c r="BF15" s="7">
        <v>84</v>
      </c>
      <c r="BG15" s="7">
        <v>91</v>
      </c>
      <c r="BH15" s="7">
        <v>85</v>
      </c>
      <c r="BI15" s="4">
        <v>100</v>
      </c>
      <c r="BJ15" s="7">
        <v>79</v>
      </c>
      <c r="BK15" s="22">
        <v>80</v>
      </c>
      <c r="BL15" s="7">
        <v>89</v>
      </c>
      <c r="BM15" s="23">
        <v>94</v>
      </c>
      <c r="BN15" s="4">
        <v>72</v>
      </c>
      <c r="BO15" s="4">
        <v>82</v>
      </c>
      <c r="BP15" s="4">
        <v>82</v>
      </c>
      <c r="BQ15" s="67">
        <v>75</v>
      </c>
    </row>
    <row r="16" spans="1:69" s="7" customFormat="1" x14ac:dyDescent="0.15">
      <c r="A16" s="16" t="s">
        <v>38</v>
      </c>
      <c r="B16" s="63">
        <v>3909</v>
      </c>
      <c r="C16" s="64">
        <v>3803</v>
      </c>
      <c r="D16" s="64">
        <v>3606</v>
      </c>
      <c r="E16" s="64">
        <v>3180</v>
      </c>
      <c r="F16" s="64">
        <v>2900</v>
      </c>
      <c r="G16" s="63">
        <v>2846</v>
      </c>
      <c r="H16" s="1">
        <f>2339+175</f>
        <v>2514</v>
      </c>
      <c r="I16" s="1">
        <f>2378+148</f>
        <v>2526</v>
      </c>
      <c r="J16" s="1">
        <f>2015+139</f>
        <v>2154</v>
      </c>
      <c r="K16" s="1">
        <f>1865+132</f>
        <v>1997</v>
      </c>
      <c r="L16" s="1">
        <f>1878+121</f>
        <v>1999</v>
      </c>
      <c r="M16" s="1">
        <f>1680+104</f>
        <v>1784</v>
      </c>
      <c r="N16" s="1">
        <f>1560+106</f>
        <v>1666</v>
      </c>
      <c r="O16" s="1">
        <f>1406+79</f>
        <v>1485</v>
      </c>
      <c r="P16" s="1">
        <f>1428+78</f>
        <v>1506</v>
      </c>
      <c r="Q16" s="1">
        <f>1339+67</f>
        <v>1406</v>
      </c>
      <c r="R16" s="1">
        <f>1141+60</f>
        <v>1201</v>
      </c>
      <c r="S16" s="1">
        <f>1091+65</f>
        <v>1156</v>
      </c>
      <c r="T16" s="1">
        <f>1005+57</f>
        <v>1062</v>
      </c>
      <c r="U16" s="1">
        <f>929+40</f>
        <v>969</v>
      </c>
      <c r="V16" s="1">
        <f>885+32</f>
        <v>917</v>
      </c>
      <c r="W16" s="1">
        <f>776+48</f>
        <v>824</v>
      </c>
      <c r="X16" s="1">
        <f>743+27</f>
        <v>770</v>
      </c>
      <c r="Y16" s="1">
        <f>753+28</f>
        <v>781</v>
      </c>
      <c r="Z16" s="1">
        <f>563+40</f>
        <v>603</v>
      </c>
      <c r="AA16" s="1">
        <f>532+30</f>
        <v>562</v>
      </c>
      <c r="AB16" s="1">
        <f>512+30</f>
        <v>542</v>
      </c>
      <c r="AC16" s="1">
        <f>452+25</f>
        <v>477</v>
      </c>
      <c r="AD16" s="1">
        <f>452+39</f>
        <v>491</v>
      </c>
      <c r="AE16" s="1">
        <f>436+22</f>
        <v>458</v>
      </c>
      <c r="AF16" s="1">
        <f>409+20</f>
        <v>429</v>
      </c>
      <c r="AG16" s="1">
        <f>350+24</f>
        <v>374</v>
      </c>
      <c r="AH16" s="1">
        <f>365+19</f>
        <v>384</v>
      </c>
      <c r="AI16" s="1">
        <f>363+24</f>
        <v>387</v>
      </c>
      <c r="AJ16" s="1">
        <v>356</v>
      </c>
      <c r="AK16" s="1">
        <v>366</v>
      </c>
      <c r="AL16" s="1">
        <v>384</v>
      </c>
      <c r="AM16" s="1">
        <v>346</v>
      </c>
      <c r="AN16" s="1">
        <v>378</v>
      </c>
      <c r="AO16" s="1">
        <v>338</v>
      </c>
      <c r="AP16" s="2">
        <v>367</v>
      </c>
      <c r="AQ16" s="2">
        <v>315</v>
      </c>
      <c r="AR16" s="2">
        <v>339</v>
      </c>
      <c r="AS16" s="2">
        <v>316</v>
      </c>
      <c r="AT16" s="2">
        <v>342</v>
      </c>
      <c r="AU16" s="6">
        <v>326</v>
      </c>
      <c r="AV16" s="6">
        <v>291</v>
      </c>
      <c r="AW16" s="6">
        <v>287</v>
      </c>
      <c r="AX16" s="6">
        <v>259</v>
      </c>
      <c r="AY16" s="6">
        <v>287</v>
      </c>
      <c r="AZ16" s="6">
        <v>277</v>
      </c>
      <c r="BA16" s="3">
        <v>253</v>
      </c>
      <c r="BB16" s="6">
        <v>275</v>
      </c>
      <c r="BC16" s="8">
        <v>279</v>
      </c>
      <c r="BD16" s="7">
        <v>247</v>
      </c>
      <c r="BE16" s="7">
        <v>251</v>
      </c>
      <c r="BF16" s="7">
        <v>238</v>
      </c>
      <c r="BG16" s="7">
        <v>236</v>
      </c>
      <c r="BH16" s="7">
        <v>247</v>
      </c>
      <c r="BI16" s="4">
        <v>216</v>
      </c>
      <c r="BJ16" s="7">
        <v>201</v>
      </c>
      <c r="BK16" s="22">
        <v>212</v>
      </c>
      <c r="BL16" s="7">
        <v>241</v>
      </c>
      <c r="BM16" s="23">
        <v>219</v>
      </c>
      <c r="BN16" s="4">
        <v>203</v>
      </c>
      <c r="BO16" s="4">
        <v>207</v>
      </c>
      <c r="BP16" s="4">
        <v>203</v>
      </c>
      <c r="BQ16" s="67">
        <v>177</v>
      </c>
    </row>
    <row r="17" spans="1:69" s="7" customFormat="1" x14ac:dyDescent="0.15">
      <c r="A17" s="16" t="s">
        <v>39</v>
      </c>
      <c r="B17" s="63">
        <v>1382</v>
      </c>
      <c r="C17" s="64">
        <v>1253</v>
      </c>
      <c r="D17" s="64">
        <v>1291</v>
      </c>
      <c r="E17" s="64">
        <v>1049</v>
      </c>
      <c r="F17" s="64">
        <v>955</v>
      </c>
      <c r="G17" s="63">
        <v>953</v>
      </c>
      <c r="H17" s="1">
        <f>736+59</f>
        <v>795</v>
      </c>
      <c r="I17" s="1">
        <f>800+58</f>
        <v>858</v>
      </c>
      <c r="J17" s="1">
        <f>655+64</f>
        <v>719</v>
      </c>
      <c r="K17" s="1">
        <f>768+41</f>
        <v>809</v>
      </c>
      <c r="L17" s="6">
        <f>655+55</f>
        <v>710</v>
      </c>
      <c r="M17" s="1">
        <f>638+44</f>
        <v>682</v>
      </c>
      <c r="N17" s="1">
        <f>589+44</f>
        <v>633</v>
      </c>
      <c r="O17" s="1">
        <f>473+28</f>
        <v>501</v>
      </c>
      <c r="P17" s="1">
        <f>538+29</f>
        <v>567</v>
      </c>
      <c r="Q17" s="1">
        <f>491+22</f>
        <v>513</v>
      </c>
      <c r="R17" s="1">
        <f>462+27</f>
        <v>489</v>
      </c>
      <c r="S17" s="1">
        <f>405+21</f>
        <v>426</v>
      </c>
      <c r="T17" s="1">
        <f>433+15</f>
        <v>448</v>
      </c>
      <c r="U17" s="1">
        <f>375+20</f>
        <v>395</v>
      </c>
      <c r="V17" s="1">
        <f>364+18</f>
        <v>382</v>
      </c>
      <c r="W17" s="1">
        <f>311+21</f>
        <v>332</v>
      </c>
      <c r="X17" s="1">
        <f>276+18</f>
        <v>294</v>
      </c>
      <c r="Y17" s="1">
        <f>319+16</f>
        <v>335</v>
      </c>
      <c r="Z17" s="1">
        <f>238+14</f>
        <v>252</v>
      </c>
      <c r="AA17" s="1">
        <f>253+10</f>
        <v>263</v>
      </c>
      <c r="AB17" s="1">
        <f>219+14</f>
        <v>233</v>
      </c>
      <c r="AC17" s="1">
        <f>236+10</f>
        <v>246</v>
      </c>
      <c r="AD17" s="1">
        <f>228+6</f>
        <v>234</v>
      </c>
      <c r="AE17" s="1">
        <f>194+17</f>
        <v>211</v>
      </c>
      <c r="AF17" s="1">
        <f>199+11</f>
        <v>210</v>
      </c>
      <c r="AG17" s="1">
        <f>188+11</f>
        <v>199</v>
      </c>
      <c r="AH17" s="1">
        <f>200+14</f>
        <v>214</v>
      </c>
      <c r="AI17" s="1">
        <f>164+10</f>
        <v>174</v>
      </c>
      <c r="AJ17" s="1">
        <v>180</v>
      </c>
      <c r="AK17" s="1">
        <v>159</v>
      </c>
      <c r="AL17" s="1">
        <v>179</v>
      </c>
      <c r="AM17" s="1">
        <v>182</v>
      </c>
      <c r="AN17" s="1">
        <v>167</v>
      </c>
      <c r="AO17" s="1">
        <v>178</v>
      </c>
      <c r="AP17" s="2">
        <v>174</v>
      </c>
      <c r="AQ17" s="2">
        <v>158</v>
      </c>
      <c r="AR17" s="2">
        <v>189</v>
      </c>
      <c r="AS17" s="2">
        <v>144</v>
      </c>
      <c r="AT17" s="2">
        <v>182</v>
      </c>
      <c r="AU17" s="6">
        <v>144</v>
      </c>
      <c r="AV17" s="6">
        <v>174</v>
      </c>
      <c r="AW17" s="6">
        <v>152</v>
      </c>
      <c r="AX17" s="6">
        <v>148</v>
      </c>
      <c r="AY17" s="6">
        <v>140</v>
      </c>
      <c r="AZ17" s="6">
        <v>161</v>
      </c>
      <c r="BA17" s="3">
        <v>148</v>
      </c>
      <c r="BB17" s="6">
        <v>124</v>
      </c>
      <c r="BC17" s="8">
        <v>138</v>
      </c>
      <c r="BD17" s="7">
        <v>143</v>
      </c>
      <c r="BE17" s="7">
        <v>152</v>
      </c>
      <c r="BF17" s="7">
        <v>112</v>
      </c>
      <c r="BG17" s="7">
        <v>126</v>
      </c>
      <c r="BH17" s="7">
        <v>118</v>
      </c>
      <c r="BI17" s="4">
        <v>126</v>
      </c>
      <c r="BJ17" s="7">
        <v>110</v>
      </c>
      <c r="BK17" s="22">
        <v>98</v>
      </c>
      <c r="BL17" s="7">
        <v>145</v>
      </c>
      <c r="BM17" s="23">
        <v>126</v>
      </c>
      <c r="BN17" s="4">
        <v>130</v>
      </c>
      <c r="BO17" s="4">
        <v>124</v>
      </c>
      <c r="BP17" s="4">
        <v>97</v>
      </c>
      <c r="BQ17" s="67">
        <v>108</v>
      </c>
    </row>
    <row r="18" spans="1:69" s="7" customFormat="1" x14ac:dyDescent="0.15">
      <c r="A18" s="16" t="s">
        <v>40</v>
      </c>
      <c r="B18" s="63">
        <v>995</v>
      </c>
      <c r="C18" s="64">
        <v>910</v>
      </c>
      <c r="D18" s="64">
        <v>872</v>
      </c>
      <c r="E18" s="64">
        <v>757</v>
      </c>
      <c r="F18" s="64">
        <v>618</v>
      </c>
      <c r="G18" s="63">
        <v>557</v>
      </c>
      <c r="H18" s="1">
        <f>473+53</f>
        <v>526</v>
      </c>
      <c r="I18" s="1">
        <f>430+39</f>
        <v>469</v>
      </c>
      <c r="J18" s="1">
        <v>385</v>
      </c>
      <c r="K18" s="1">
        <f>311+23</f>
        <v>334</v>
      </c>
      <c r="L18" s="1">
        <f>344+16</f>
        <v>360</v>
      </c>
      <c r="M18" s="1">
        <f>284+22</f>
        <v>306</v>
      </c>
      <c r="N18" s="1">
        <f>224+21</f>
        <v>245</v>
      </c>
      <c r="O18" s="1">
        <f>224+13</f>
        <v>237</v>
      </c>
      <c r="P18" s="1">
        <f>223+13</f>
        <v>236</v>
      </c>
      <c r="Q18" s="1">
        <f>227+12</f>
        <v>239</v>
      </c>
      <c r="R18" s="1">
        <f>176+8</f>
        <v>184</v>
      </c>
      <c r="S18" s="1">
        <f>153+7</f>
        <v>160</v>
      </c>
      <c r="T18" s="1">
        <f>140+9</f>
        <v>149</v>
      </c>
      <c r="U18" s="1">
        <f>146+6</f>
        <v>152</v>
      </c>
      <c r="V18" s="1">
        <f>117+9</f>
        <v>126</v>
      </c>
      <c r="W18" s="1">
        <f>129+4</f>
        <v>133</v>
      </c>
      <c r="X18" s="1">
        <f>112+11</f>
        <v>123</v>
      </c>
      <c r="Y18" s="1">
        <f>108+10</f>
        <v>118</v>
      </c>
      <c r="Z18" s="1">
        <f>78+5</f>
        <v>83</v>
      </c>
      <c r="AA18" s="1">
        <f>84+10</f>
        <v>94</v>
      </c>
      <c r="AB18" s="1">
        <f>87+3</f>
        <v>90</v>
      </c>
      <c r="AC18" s="1">
        <f>68+6</f>
        <v>74</v>
      </c>
      <c r="AD18" s="1">
        <f>61+3</f>
        <v>64</v>
      </c>
      <c r="AE18" s="1">
        <f>53+5</f>
        <v>58</v>
      </c>
      <c r="AF18" s="1">
        <f>52+5</f>
        <v>57</v>
      </c>
      <c r="AG18" s="1">
        <f>54+5</f>
        <v>59</v>
      </c>
      <c r="AH18" s="1">
        <f>37+1</f>
        <v>38</v>
      </c>
      <c r="AI18" s="1">
        <f>35+3</f>
        <v>38</v>
      </c>
      <c r="AJ18" s="1">
        <v>47</v>
      </c>
      <c r="AK18" s="1">
        <v>49</v>
      </c>
      <c r="AL18" s="1">
        <v>38</v>
      </c>
      <c r="AM18" s="1">
        <v>47</v>
      </c>
      <c r="AN18" s="1">
        <v>37</v>
      </c>
      <c r="AO18" s="1">
        <v>33</v>
      </c>
      <c r="AP18" s="2">
        <v>47</v>
      </c>
      <c r="AQ18" s="2">
        <v>30</v>
      </c>
      <c r="AR18" s="2">
        <v>39</v>
      </c>
      <c r="AS18" s="2">
        <v>39</v>
      </c>
      <c r="AT18" s="2">
        <v>38</v>
      </c>
      <c r="AU18" s="6">
        <v>30</v>
      </c>
      <c r="AV18" s="6">
        <v>38</v>
      </c>
      <c r="AW18" s="6">
        <v>29</v>
      </c>
      <c r="AX18" s="6">
        <v>29</v>
      </c>
      <c r="AY18" s="6">
        <v>31</v>
      </c>
      <c r="AZ18" s="6">
        <v>27</v>
      </c>
      <c r="BA18" s="3">
        <v>37</v>
      </c>
      <c r="BB18" s="6">
        <v>30</v>
      </c>
      <c r="BC18" s="8">
        <v>18</v>
      </c>
      <c r="BD18" s="7">
        <v>30</v>
      </c>
      <c r="BE18" s="7">
        <v>25</v>
      </c>
      <c r="BF18" s="7">
        <v>36</v>
      </c>
      <c r="BG18" s="7">
        <v>24</v>
      </c>
      <c r="BH18" s="7">
        <v>25</v>
      </c>
      <c r="BI18" s="4">
        <v>24</v>
      </c>
      <c r="BJ18" s="7">
        <v>24</v>
      </c>
      <c r="BK18" s="22">
        <v>24</v>
      </c>
      <c r="BL18" s="7">
        <v>23</v>
      </c>
      <c r="BM18" s="23">
        <v>29</v>
      </c>
      <c r="BN18" s="4">
        <v>25</v>
      </c>
      <c r="BO18" s="4">
        <v>34</v>
      </c>
      <c r="BP18" s="4">
        <v>29</v>
      </c>
      <c r="BQ18" s="67">
        <v>18</v>
      </c>
    </row>
    <row r="19" spans="1:69" s="7" customFormat="1" x14ac:dyDescent="0.15">
      <c r="A19" s="16" t="s">
        <v>41</v>
      </c>
      <c r="B19" s="63">
        <v>467</v>
      </c>
      <c r="C19" s="64">
        <v>467</v>
      </c>
      <c r="D19" s="64">
        <v>440</v>
      </c>
      <c r="E19" s="64">
        <v>349</v>
      </c>
      <c r="F19" s="64">
        <v>367</v>
      </c>
      <c r="G19" s="63">
        <v>303</v>
      </c>
      <c r="H19" s="1">
        <f>269+22</f>
        <v>291</v>
      </c>
      <c r="I19" s="1">
        <f>269+20</f>
        <v>289</v>
      </c>
      <c r="J19" s="1">
        <f>252+10</f>
        <v>262</v>
      </c>
      <c r="K19" s="1">
        <f>220+23</f>
        <v>243</v>
      </c>
      <c r="L19" s="1">
        <f>229+9</f>
        <v>238</v>
      </c>
      <c r="M19" s="1">
        <f>155+18</f>
        <v>173</v>
      </c>
      <c r="N19" s="1">
        <f>154+15</f>
        <v>169</v>
      </c>
      <c r="O19" s="1">
        <f>131+6</f>
        <v>137</v>
      </c>
      <c r="P19" s="1">
        <v>134</v>
      </c>
      <c r="Q19" s="1">
        <f>134+9</f>
        <v>143</v>
      </c>
      <c r="R19" s="1">
        <f>136+10</f>
        <v>146</v>
      </c>
      <c r="S19" s="1">
        <f>116+6</f>
        <v>122</v>
      </c>
      <c r="T19" s="1">
        <f>106+5</f>
        <v>111</v>
      </c>
      <c r="U19" s="1">
        <f>132+5</f>
        <v>137</v>
      </c>
      <c r="V19" s="1">
        <f>95+7</f>
        <v>102</v>
      </c>
      <c r="W19" s="1">
        <f>87+1</f>
        <v>88</v>
      </c>
      <c r="X19" s="1">
        <f>76+5</f>
        <v>81</v>
      </c>
      <c r="Y19" s="1">
        <f>83+8</f>
        <v>91</v>
      </c>
      <c r="Z19" s="1">
        <f>64+7</f>
        <v>71</v>
      </c>
      <c r="AA19" s="1">
        <f>71+4</f>
        <v>75</v>
      </c>
      <c r="AB19" s="1">
        <f>53+2</f>
        <v>55</v>
      </c>
      <c r="AC19" s="1">
        <f>50+6</f>
        <v>56</v>
      </c>
      <c r="AD19" s="1">
        <f>48+4</f>
        <v>52</v>
      </c>
      <c r="AE19" s="1">
        <f>48+3</f>
        <v>51</v>
      </c>
      <c r="AF19" s="1">
        <f>38+3</f>
        <v>41</v>
      </c>
      <c r="AG19" s="1">
        <v>41</v>
      </c>
      <c r="AH19" s="1">
        <f>29+2</f>
        <v>31</v>
      </c>
      <c r="AI19" s="1">
        <f>25+2</f>
        <v>27</v>
      </c>
      <c r="AJ19" s="1">
        <v>39</v>
      </c>
      <c r="AK19" s="1">
        <v>36</v>
      </c>
      <c r="AL19" s="1">
        <v>13</v>
      </c>
      <c r="AM19" s="1">
        <v>23</v>
      </c>
      <c r="AN19" s="1">
        <v>18</v>
      </c>
      <c r="AO19" s="1">
        <v>36</v>
      </c>
      <c r="AP19" s="2">
        <v>36</v>
      </c>
      <c r="AQ19" s="2">
        <v>16</v>
      </c>
      <c r="AR19" s="2">
        <v>12</v>
      </c>
      <c r="AS19" s="2">
        <v>24</v>
      </c>
      <c r="AT19" s="2">
        <v>32</v>
      </c>
      <c r="AU19" s="6">
        <v>26</v>
      </c>
      <c r="AV19" s="6">
        <v>22</v>
      </c>
      <c r="AW19" s="6">
        <v>20</v>
      </c>
      <c r="AX19" s="6">
        <v>17</v>
      </c>
      <c r="AY19" s="6">
        <v>27</v>
      </c>
      <c r="AZ19" s="6">
        <v>36</v>
      </c>
      <c r="BA19" s="1">
        <v>28</v>
      </c>
      <c r="BB19" s="6">
        <v>26</v>
      </c>
      <c r="BC19" s="8">
        <v>21</v>
      </c>
      <c r="BD19" s="7">
        <v>17</v>
      </c>
      <c r="BE19" s="7">
        <v>16</v>
      </c>
      <c r="BF19" s="7">
        <v>21</v>
      </c>
      <c r="BG19" s="7">
        <v>17</v>
      </c>
      <c r="BH19" s="7">
        <v>16</v>
      </c>
      <c r="BI19" s="4">
        <v>16</v>
      </c>
      <c r="BJ19" s="7">
        <v>15</v>
      </c>
      <c r="BK19" s="22">
        <v>17</v>
      </c>
      <c r="BL19" s="7">
        <v>11</v>
      </c>
      <c r="BM19" s="23">
        <v>16</v>
      </c>
      <c r="BN19" s="4">
        <v>17</v>
      </c>
      <c r="BO19" s="4">
        <v>19</v>
      </c>
      <c r="BP19" s="4">
        <v>22</v>
      </c>
      <c r="BQ19" s="67">
        <v>13</v>
      </c>
    </row>
    <row r="20" spans="1:69" s="7" customFormat="1" x14ac:dyDescent="0.15">
      <c r="A20" s="16" t="s">
        <v>42</v>
      </c>
      <c r="B20" s="63">
        <v>470</v>
      </c>
      <c r="C20" s="64">
        <v>510</v>
      </c>
      <c r="D20" s="64">
        <v>485</v>
      </c>
      <c r="E20" s="64">
        <v>407</v>
      </c>
      <c r="F20" s="64">
        <v>340</v>
      </c>
      <c r="G20" s="63">
        <v>354</v>
      </c>
      <c r="H20" s="1">
        <f>290+27</f>
        <v>317</v>
      </c>
      <c r="I20" s="1">
        <f>262+26</f>
        <v>288</v>
      </c>
      <c r="J20" s="1">
        <f>244+14</f>
        <v>258</v>
      </c>
      <c r="K20" s="1">
        <f>235+19</f>
        <v>254</v>
      </c>
      <c r="L20" s="1">
        <f>209+17</f>
        <v>226</v>
      </c>
      <c r="M20" s="1">
        <f>208+11</f>
        <v>219</v>
      </c>
      <c r="N20" s="1">
        <f>173+14</f>
        <v>187</v>
      </c>
      <c r="O20" s="1">
        <f>170+8</f>
        <v>178</v>
      </c>
      <c r="P20" s="1">
        <f>197+8</f>
        <v>205</v>
      </c>
      <c r="Q20" s="1">
        <f>152+8</f>
        <v>160</v>
      </c>
      <c r="R20" s="1">
        <f>136+5</f>
        <v>141</v>
      </c>
      <c r="S20" s="1">
        <f>126+5</f>
        <v>131</v>
      </c>
      <c r="T20" s="1">
        <f>127+6</f>
        <v>133</v>
      </c>
      <c r="U20" s="1">
        <f>125+6</f>
        <v>131</v>
      </c>
      <c r="V20" s="1">
        <f>112+3</f>
        <v>115</v>
      </c>
      <c r="W20" s="1">
        <f>83+3</f>
        <v>86</v>
      </c>
      <c r="X20" s="1">
        <f>90+2</f>
        <v>92</v>
      </c>
      <c r="Y20" s="1">
        <f>83+6</f>
        <v>89</v>
      </c>
      <c r="Z20" s="1">
        <f>74+2</f>
        <v>76</v>
      </c>
      <c r="AA20" s="1">
        <f>47+1</f>
        <v>48</v>
      </c>
      <c r="AB20" s="1">
        <f>44+1</f>
        <v>45</v>
      </c>
      <c r="AC20" s="1">
        <f>58+2</f>
        <v>60</v>
      </c>
      <c r="AD20" s="1">
        <f>35+2</f>
        <v>37</v>
      </c>
      <c r="AE20" s="1">
        <f>47+2</f>
        <v>49</v>
      </c>
      <c r="AF20" s="1">
        <f>64+1</f>
        <v>65</v>
      </c>
      <c r="AG20" s="1">
        <f>47+2</f>
        <v>49</v>
      </c>
      <c r="AH20" s="1">
        <f>44+2</f>
        <v>46</v>
      </c>
      <c r="AI20" s="1">
        <f>37+1</f>
        <v>38</v>
      </c>
      <c r="AJ20" s="1">
        <v>42</v>
      </c>
      <c r="AK20" s="1">
        <v>43</v>
      </c>
      <c r="AL20" s="1">
        <v>32</v>
      </c>
      <c r="AM20" s="1">
        <v>24</v>
      </c>
      <c r="AN20" s="1">
        <v>19</v>
      </c>
      <c r="AO20" s="1">
        <v>29</v>
      </c>
      <c r="AP20" s="2">
        <v>28</v>
      </c>
      <c r="AQ20" s="2">
        <v>22</v>
      </c>
      <c r="AR20" s="2">
        <v>21</v>
      </c>
      <c r="AS20" s="2">
        <v>31</v>
      </c>
      <c r="AT20" s="2">
        <v>23</v>
      </c>
      <c r="AU20" s="6">
        <v>25</v>
      </c>
      <c r="AV20" s="6">
        <v>26</v>
      </c>
      <c r="AW20" s="6">
        <v>29</v>
      </c>
      <c r="AX20" s="6">
        <v>18</v>
      </c>
      <c r="AY20" s="6">
        <v>14</v>
      </c>
      <c r="AZ20" s="6">
        <v>19</v>
      </c>
      <c r="BA20" s="3">
        <v>12</v>
      </c>
      <c r="BB20" s="6">
        <v>13</v>
      </c>
      <c r="BC20" s="8">
        <v>9</v>
      </c>
      <c r="BD20" s="7">
        <v>19</v>
      </c>
      <c r="BE20" s="7">
        <v>19</v>
      </c>
      <c r="BF20" s="7">
        <v>15</v>
      </c>
      <c r="BG20" s="7">
        <v>9</v>
      </c>
      <c r="BH20" s="7">
        <v>15</v>
      </c>
      <c r="BI20" s="4">
        <v>11</v>
      </c>
      <c r="BJ20" s="7">
        <v>14</v>
      </c>
      <c r="BK20" s="22">
        <v>14</v>
      </c>
      <c r="BL20" s="7">
        <v>13</v>
      </c>
      <c r="BM20" s="23">
        <v>15</v>
      </c>
      <c r="BN20" s="4">
        <v>8</v>
      </c>
      <c r="BO20" s="4">
        <v>15</v>
      </c>
      <c r="BP20" s="4">
        <v>16</v>
      </c>
      <c r="BQ20" s="67">
        <v>18</v>
      </c>
    </row>
    <row r="21" spans="1:69" s="7" customFormat="1" x14ac:dyDescent="0.15">
      <c r="A21" s="16" t="s">
        <v>43</v>
      </c>
      <c r="B21" s="63">
        <v>402</v>
      </c>
      <c r="C21" s="64">
        <v>368</v>
      </c>
      <c r="D21" s="64">
        <v>340</v>
      </c>
      <c r="E21" s="64">
        <v>322</v>
      </c>
      <c r="F21" s="64">
        <v>289</v>
      </c>
      <c r="G21" s="63">
        <v>272</v>
      </c>
      <c r="H21" s="1">
        <f>217+22</f>
        <v>239</v>
      </c>
      <c r="I21" s="1">
        <f>204+26</f>
        <v>230</v>
      </c>
      <c r="J21" s="1">
        <f>187+18</f>
        <v>205</v>
      </c>
      <c r="K21" s="1">
        <f>188+27</f>
        <v>215</v>
      </c>
      <c r="L21" s="1">
        <f>196+12</f>
        <v>208</v>
      </c>
      <c r="M21" s="1">
        <f>175+8</f>
        <v>183</v>
      </c>
      <c r="N21" s="1">
        <f>155+12</f>
        <v>167</v>
      </c>
      <c r="O21" s="1">
        <f>133+9</f>
        <v>142</v>
      </c>
      <c r="P21" s="1">
        <f>110+10</f>
        <v>120</v>
      </c>
      <c r="Q21" s="1">
        <f>114+6</f>
        <v>120</v>
      </c>
      <c r="R21" s="1">
        <f>96+3</f>
        <v>99</v>
      </c>
      <c r="S21" s="1">
        <f>84+6</f>
        <v>90</v>
      </c>
      <c r="T21" s="1">
        <f>99+2</f>
        <v>101</v>
      </c>
      <c r="U21" s="1">
        <f>80+3</f>
        <v>83</v>
      </c>
      <c r="V21" s="1">
        <f>96+3</f>
        <v>99</v>
      </c>
      <c r="W21" s="1">
        <f>65+5</f>
        <v>70</v>
      </c>
      <c r="X21" s="1">
        <f>59+3</f>
        <v>62</v>
      </c>
      <c r="Y21" s="1">
        <f>65+1</f>
        <v>66</v>
      </c>
      <c r="Z21" s="1">
        <f>50+5</f>
        <v>55</v>
      </c>
      <c r="AA21" s="1">
        <f>62+1</f>
        <v>63</v>
      </c>
      <c r="AB21" s="1">
        <f>57+3</f>
        <v>60</v>
      </c>
      <c r="AC21" s="1">
        <f>34+1</f>
        <v>35</v>
      </c>
      <c r="AD21" s="1">
        <f>42+1</f>
        <v>43</v>
      </c>
      <c r="AE21" s="1">
        <f>34+1</f>
        <v>35</v>
      </c>
      <c r="AF21" s="1">
        <v>32</v>
      </c>
      <c r="AG21" s="1">
        <f>27+1</f>
        <v>28</v>
      </c>
      <c r="AH21" s="1">
        <f>31+1</f>
        <v>32</v>
      </c>
      <c r="AI21" s="1">
        <v>31</v>
      </c>
      <c r="AJ21" s="1">
        <v>36</v>
      </c>
      <c r="AK21" s="1">
        <v>22</v>
      </c>
      <c r="AL21" s="1">
        <v>27</v>
      </c>
      <c r="AM21" s="1">
        <v>29</v>
      </c>
      <c r="AN21" s="1">
        <v>27</v>
      </c>
      <c r="AO21" s="1">
        <v>28</v>
      </c>
      <c r="AP21" s="2">
        <v>19</v>
      </c>
      <c r="AQ21" s="2">
        <v>12</v>
      </c>
      <c r="AR21" s="2">
        <v>17</v>
      </c>
      <c r="AS21" s="2">
        <v>9</v>
      </c>
      <c r="AT21" s="2">
        <v>15</v>
      </c>
      <c r="AU21" s="6">
        <v>18</v>
      </c>
      <c r="AV21" s="6">
        <v>13</v>
      </c>
      <c r="AW21" s="6">
        <v>8</v>
      </c>
      <c r="AX21" s="6">
        <v>12</v>
      </c>
      <c r="AY21" s="6">
        <v>7</v>
      </c>
      <c r="AZ21" s="6">
        <v>16</v>
      </c>
      <c r="BA21" s="1">
        <v>9</v>
      </c>
      <c r="BB21" s="6">
        <v>16</v>
      </c>
      <c r="BC21" s="8">
        <v>9</v>
      </c>
      <c r="BD21" s="7">
        <v>12</v>
      </c>
      <c r="BE21" s="7">
        <v>11</v>
      </c>
      <c r="BF21" s="7">
        <v>12</v>
      </c>
      <c r="BG21" s="7">
        <v>12</v>
      </c>
      <c r="BH21" s="7">
        <v>15</v>
      </c>
      <c r="BI21" s="4">
        <v>7</v>
      </c>
      <c r="BJ21" s="7">
        <v>8</v>
      </c>
      <c r="BK21" s="22">
        <v>14</v>
      </c>
      <c r="BL21" s="7">
        <v>12</v>
      </c>
      <c r="BM21" s="23">
        <v>15</v>
      </c>
      <c r="BN21" s="4">
        <v>7</v>
      </c>
      <c r="BO21" s="4">
        <v>13</v>
      </c>
      <c r="BP21" s="4">
        <v>11</v>
      </c>
      <c r="BQ21" s="67">
        <v>6</v>
      </c>
    </row>
    <row r="22" spans="1:69" s="7" customFormat="1" x14ac:dyDescent="0.15">
      <c r="A22" s="16" t="s">
        <v>44</v>
      </c>
      <c r="B22" s="63">
        <v>271</v>
      </c>
      <c r="C22" s="64">
        <v>254</v>
      </c>
      <c r="D22" s="64">
        <v>220</v>
      </c>
      <c r="E22" s="64">
        <v>198</v>
      </c>
      <c r="F22" s="64">
        <v>197</v>
      </c>
      <c r="G22" s="63">
        <v>198</v>
      </c>
      <c r="H22" s="1">
        <f>130+14</f>
        <v>144</v>
      </c>
      <c r="I22" s="1">
        <f>128+14</f>
        <v>142</v>
      </c>
      <c r="J22" s="1">
        <f>114+9</f>
        <v>123</v>
      </c>
      <c r="K22" s="1">
        <f>128+7</f>
        <v>135</v>
      </c>
      <c r="L22" s="1">
        <f>129+11</f>
        <v>140</v>
      </c>
      <c r="M22" s="1">
        <f>111+7</f>
        <v>118</v>
      </c>
      <c r="N22" s="1">
        <f>100+11</f>
        <v>111</v>
      </c>
      <c r="O22" s="1">
        <f>100+5</f>
        <v>105</v>
      </c>
      <c r="P22" s="1">
        <f>85+3</f>
        <v>88</v>
      </c>
      <c r="Q22" s="1">
        <f>112+8</f>
        <v>120</v>
      </c>
      <c r="R22" s="1">
        <f>84+4</f>
        <v>88</v>
      </c>
      <c r="S22" s="1">
        <f>64+4</f>
        <v>68</v>
      </c>
      <c r="T22" s="1">
        <f>57+4</f>
        <v>61</v>
      </c>
      <c r="U22" s="1">
        <f>57+3</f>
        <v>60</v>
      </c>
      <c r="V22" s="1">
        <f>75+2</f>
        <v>77</v>
      </c>
      <c r="W22" s="1">
        <f>56+4</f>
        <v>60</v>
      </c>
      <c r="X22" s="1">
        <f>43+4</f>
        <v>47</v>
      </c>
      <c r="Y22" s="1">
        <f>59+2</f>
        <v>61</v>
      </c>
      <c r="Z22" s="1">
        <v>31</v>
      </c>
      <c r="AA22" s="1">
        <f>39+3</f>
        <v>42</v>
      </c>
      <c r="AB22" s="1">
        <f>32+5</f>
        <v>37</v>
      </c>
      <c r="AC22" s="1">
        <v>23</v>
      </c>
      <c r="AD22" s="1">
        <f>27+1</f>
        <v>28</v>
      </c>
      <c r="AE22" s="1">
        <v>30</v>
      </c>
      <c r="AF22" s="1">
        <f>26+2</f>
        <v>28</v>
      </c>
      <c r="AG22" s="1">
        <f>15+4</f>
        <v>19</v>
      </c>
      <c r="AH22" s="1">
        <f>23+2</f>
        <v>25</v>
      </c>
      <c r="AI22" s="1">
        <f>23+1</f>
        <v>24</v>
      </c>
      <c r="AJ22" s="1">
        <v>20</v>
      </c>
      <c r="AK22" s="1">
        <v>16</v>
      </c>
      <c r="AL22" s="1">
        <v>12</v>
      </c>
      <c r="AM22" s="1">
        <v>18</v>
      </c>
      <c r="AN22" s="1">
        <v>15</v>
      </c>
      <c r="AO22" s="1">
        <v>14</v>
      </c>
      <c r="AP22" s="2">
        <v>12</v>
      </c>
      <c r="AQ22" s="2">
        <v>13</v>
      </c>
      <c r="AR22" s="2">
        <v>19</v>
      </c>
      <c r="AS22" s="2">
        <v>16</v>
      </c>
      <c r="AT22" s="2">
        <v>9</v>
      </c>
      <c r="AU22" s="6">
        <v>14</v>
      </c>
      <c r="AV22" s="6">
        <v>11</v>
      </c>
      <c r="AW22" s="6">
        <v>9</v>
      </c>
      <c r="AX22" s="6">
        <v>4</v>
      </c>
      <c r="AY22" s="6">
        <v>7</v>
      </c>
      <c r="AZ22" s="6">
        <v>12</v>
      </c>
      <c r="BA22" s="3">
        <v>13</v>
      </c>
      <c r="BB22" s="6">
        <v>11</v>
      </c>
      <c r="BC22" s="8">
        <v>10</v>
      </c>
      <c r="BD22" s="7">
        <v>15</v>
      </c>
      <c r="BE22" s="7">
        <v>17</v>
      </c>
      <c r="BF22" s="7">
        <v>13</v>
      </c>
      <c r="BG22" s="7">
        <v>14</v>
      </c>
      <c r="BH22" s="7">
        <v>12</v>
      </c>
      <c r="BI22" s="4">
        <v>11</v>
      </c>
      <c r="BJ22" s="7">
        <v>9</v>
      </c>
      <c r="BK22" s="22">
        <v>9</v>
      </c>
      <c r="BL22" s="7">
        <v>13</v>
      </c>
      <c r="BM22" s="23">
        <v>12</v>
      </c>
      <c r="BN22" s="4">
        <v>21</v>
      </c>
      <c r="BO22" s="4">
        <v>12</v>
      </c>
      <c r="BP22" s="4">
        <v>4</v>
      </c>
      <c r="BQ22" s="67">
        <v>11</v>
      </c>
    </row>
    <row r="23" spans="1:69" s="7" customFormat="1" x14ac:dyDescent="0.15">
      <c r="A23" s="16" t="s">
        <v>45</v>
      </c>
      <c r="B23" s="63">
        <v>644</v>
      </c>
      <c r="C23" s="64">
        <v>632</v>
      </c>
      <c r="D23" s="64">
        <v>528</v>
      </c>
      <c r="E23" s="64">
        <v>464</v>
      </c>
      <c r="F23" s="64">
        <v>416</v>
      </c>
      <c r="G23" s="63">
        <v>362</v>
      </c>
      <c r="H23" s="1">
        <f>290+36</f>
        <v>326</v>
      </c>
      <c r="I23" s="1">
        <f>282+41</f>
        <v>323</v>
      </c>
      <c r="J23" s="1">
        <f>225+36</f>
        <v>261</v>
      </c>
      <c r="K23" s="1">
        <f>246+26</f>
        <v>272</v>
      </c>
      <c r="L23" s="1">
        <f>230+23</f>
        <v>253</v>
      </c>
      <c r="M23" s="1">
        <f>183+27</f>
        <v>210</v>
      </c>
      <c r="N23" s="1">
        <f>187+15</f>
        <v>202</v>
      </c>
      <c r="O23" s="1">
        <f>155+16</f>
        <v>171</v>
      </c>
      <c r="P23" s="1">
        <f>161+14</f>
        <v>175</v>
      </c>
      <c r="Q23" s="1">
        <f>147+14</f>
        <v>161</v>
      </c>
      <c r="R23" s="1">
        <f>130+19</f>
        <v>149</v>
      </c>
      <c r="S23" s="1">
        <f>119+10</f>
        <v>129</v>
      </c>
      <c r="T23" s="1">
        <f>101+14</f>
        <v>115</v>
      </c>
      <c r="U23" s="1">
        <f>108+9</f>
        <v>117</v>
      </c>
      <c r="V23" s="1">
        <f>94+9</f>
        <v>103</v>
      </c>
      <c r="W23" s="1">
        <f>75+6</f>
        <v>81</v>
      </c>
      <c r="X23" s="1">
        <f>88+8</f>
        <v>96</v>
      </c>
      <c r="Y23" s="1">
        <f>96+4</f>
        <v>100</v>
      </c>
      <c r="Z23" s="1">
        <f>75+6</f>
        <v>81</v>
      </c>
      <c r="AA23" s="1">
        <f>93+7</f>
        <v>100</v>
      </c>
      <c r="AB23" s="1">
        <f>66+4</f>
        <v>70</v>
      </c>
      <c r="AC23" s="1">
        <f>67+4</f>
        <v>71</v>
      </c>
      <c r="AD23" s="1">
        <f>69+4</f>
        <v>73</v>
      </c>
      <c r="AE23" s="1">
        <f>53+5</f>
        <v>58</v>
      </c>
      <c r="AF23" s="1">
        <f>53+1</f>
        <v>54</v>
      </c>
      <c r="AG23" s="1">
        <f>53+1</f>
        <v>54</v>
      </c>
      <c r="AH23" s="1">
        <v>44</v>
      </c>
      <c r="AI23" s="1">
        <f>43+5</f>
        <v>48</v>
      </c>
      <c r="AJ23" s="1">
        <v>36</v>
      </c>
      <c r="AK23" s="1">
        <v>35</v>
      </c>
      <c r="AL23" s="1">
        <v>41</v>
      </c>
      <c r="AM23" s="1">
        <v>40</v>
      </c>
      <c r="AN23" s="1">
        <v>38</v>
      </c>
      <c r="AO23" s="1">
        <v>45</v>
      </c>
      <c r="AP23" s="2">
        <v>33</v>
      </c>
      <c r="AQ23" s="2">
        <v>45</v>
      </c>
      <c r="AR23" s="2">
        <v>31</v>
      </c>
      <c r="AS23" s="2">
        <v>39</v>
      </c>
      <c r="AT23" s="2">
        <v>41</v>
      </c>
      <c r="AU23" s="6">
        <v>39</v>
      </c>
      <c r="AV23" s="6">
        <v>32</v>
      </c>
      <c r="AW23" s="6">
        <v>24</v>
      </c>
      <c r="AX23" s="6">
        <v>38</v>
      </c>
      <c r="AY23" s="6">
        <v>31</v>
      </c>
      <c r="AZ23" s="6">
        <v>26</v>
      </c>
      <c r="BA23" s="1">
        <v>31</v>
      </c>
      <c r="BB23" s="6">
        <v>29</v>
      </c>
      <c r="BC23" s="8">
        <v>22</v>
      </c>
      <c r="BD23" s="7">
        <v>33</v>
      </c>
      <c r="BE23" s="7">
        <v>26</v>
      </c>
      <c r="BF23" s="7">
        <v>30</v>
      </c>
      <c r="BG23" s="7">
        <v>34</v>
      </c>
      <c r="BH23" s="7">
        <v>33</v>
      </c>
      <c r="BI23" s="4">
        <v>20</v>
      </c>
      <c r="BJ23" s="7">
        <v>19</v>
      </c>
      <c r="BK23" s="22">
        <v>24</v>
      </c>
      <c r="BL23" s="7">
        <v>24</v>
      </c>
      <c r="BM23" s="23">
        <v>37</v>
      </c>
      <c r="BN23" s="4">
        <v>39</v>
      </c>
      <c r="BO23" s="4">
        <v>31</v>
      </c>
      <c r="BP23" s="4">
        <v>29</v>
      </c>
      <c r="BQ23" s="67">
        <v>23</v>
      </c>
    </row>
    <row r="24" spans="1:69" s="7" customFormat="1" x14ac:dyDescent="0.15">
      <c r="A24" s="16" t="s">
        <v>46</v>
      </c>
      <c r="B24" s="63">
        <v>882</v>
      </c>
      <c r="C24" s="64">
        <v>801</v>
      </c>
      <c r="D24" s="64">
        <v>738</v>
      </c>
      <c r="E24" s="64">
        <v>674</v>
      </c>
      <c r="F24" s="64">
        <v>642</v>
      </c>
      <c r="G24" s="63">
        <v>600</v>
      </c>
      <c r="H24" s="1">
        <f>510+36</f>
        <v>546</v>
      </c>
      <c r="I24" s="1">
        <f>530+47</f>
        <v>577</v>
      </c>
      <c r="J24" s="1">
        <f>408+30</f>
        <v>438</v>
      </c>
      <c r="K24" s="1">
        <f>401+22</f>
        <v>423</v>
      </c>
      <c r="L24" s="1">
        <f>403+24</f>
        <v>427</v>
      </c>
      <c r="M24" s="1">
        <f>375+28</f>
        <v>403</v>
      </c>
      <c r="N24" s="1">
        <f>298+15</f>
        <v>313</v>
      </c>
      <c r="O24" s="1">
        <f>308+21</f>
        <v>329</v>
      </c>
      <c r="P24" s="1">
        <f>288+18</f>
        <v>306</v>
      </c>
      <c r="Q24" s="1">
        <f>312+24</f>
        <v>336</v>
      </c>
      <c r="R24" s="1">
        <f>250+10</f>
        <v>260</v>
      </c>
      <c r="S24" s="1">
        <f>241+7</f>
        <v>248</v>
      </c>
      <c r="T24" s="1">
        <f>249+13</f>
        <v>262</v>
      </c>
      <c r="U24" s="1">
        <f>205+15</f>
        <v>220</v>
      </c>
      <c r="V24" s="1">
        <f>231+15</f>
        <v>246</v>
      </c>
      <c r="W24" s="1">
        <f>185+6</f>
        <v>191</v>
      </c>
      <c r="X24" s="1">
        <f>198+5</f>
        <v>203</v>
      </c>
      <c r="Y24" s="1">
        <f>168+14</f>
        <v>182</v>
      </c>
      <c r="Z24" s="1">
        <f>164+13</f>
        <v>177</v>
      </c>
      <c r="AA24" s="1">
        <f>165+2</f>
        <v>167</v>
      </c>
      <c r="AB24" s="1">
        <f>148+6</f>
        <v>154</v>
      </c>
      <c r="AC24" s="1">
        <f>132+4</f>
        <v>136</v>
      </c>
      <c r="AD24" s="1">
        <f>132+9</f>
        <v>141</v>
      </c>
      <c r="AE24" s="1">
        <f>111+3</f>
        <v>114</v>
      </c>
      <c r="AF24" s="1">
        <f>109+10</f>
        <v>119</v>
      </c>
      <c r="AG24" s="1">
        <f>102+2</f>
        <v>104</v>
      </c>
      <c r="AH24" s="1">
        <f>84+6</f>
        <v>90</v>
      </c>
      <c r="AI24" s="1">
        <f>87+3</f>
        <v>90</v>
      </c>
      <c r="AJ24" s="1">
        <v>66</v>
      </c>
      <c r="AK24" s="1">
        <v>78</v>
      </c>
      <c r="AL24" s="1">
        <v>80</v>
      </c>
      <c r="AM24" s="1">
        <v>86</v>
      </c>
      <c r="AN24" s="1">
        <v>83</v>
      </c>
      <c r="AO24" s="1">
        <v>60</v>
      </c>
      <c r="AP24" s="2">
        <v>70</v>
      </c>
      <c r="AQ24" s="2">
        <v>67</v>
      </c>
      <c r="AR24" s="2">
        <v>66</v>
      </c>
      <c r="AS24" s="2">
        <v>49</v>
      </c>
      <c r="AT24" s="2">
        <v>54</v>
      </c>
      <c r="AU24" s="6">
        <v>57</v>
      </c>
      <c r="AV24" s="6">
        <v>65</v>
      </c>
      <c r="AW24" s="6">
        <v>66</v>
      </c>
      <c r="AX24" s="6">
        <v>50</v>
      </c>
      <c r="AY24" s="6">
        <v>54</v>
      </c>
      <c r="AZ24" s="6">
        <v>38</v>
      </c>
      <c r="BA24" s="3">
        <v>44</v>
      </c>
      <c r="BB24" s="6">
        <v>55</v>
      </c>
      <c r="BC24" s="8">
        <v>37</v>
      </c>
      <c r="BD24" s="7">
        <v>44</v>
      </c>
      <c r="BE24" s="7">
        <v>43</v>
      </c>
      <c r="BF24" s="7">
        <v>29</v>
      </c>
      <c r="BG24" s="7">
        <v>42</v>
      </c>
      <c r="BH24" s="7">
        <v>34</v>
      </c>
      <c r="BI24" s="4">
        <v>32</v>
      </c>
      <c r="BJ24" s="7">
        <v>29</v>
      </c>
      <c r="BK24" s="22">
        <v>40</v>
      </c>
      <c r="BL24" s="7">
        <v>36</v>
      </c>
      <c r="BM24" s="23">
        <v>46</v>
      </c>
      <c r="BN24" s="4">
        <v>37</v>
      </c>
      <c r="BO24" s="4">
        <v>37</v>
      </c>
      <c r="BP24" s="4">
        <v>41</v>
      </c>
      <c r="BQ24" s="67">
        <v>16</v>
      </c>
    </row>
    <row r="25" spans="1:69" s="7" customFormat="1" x14ac:dyDescent="0.15">
      <c r="A25" s="16" t="s">
        <v>47</v>
      </c>
      <c r="B25" s="63">
        <v>1224</v>
      </c>
      <c r="C25" s="64">
        <v>1104</v>
      </c>
      <c r="D25" s="64">
        <v>1006</v>
      </c>
      <c r="E25" s="64">
        <v>932</v>
      </c>
      <c r="F25" s="64">
        <v>781</v>
      </c>
      <c r="G25" s="63">
        <v>788</v>
      </c>
      <c r="H25" s="1">
        <f>608+56</f>
        <v>664</v>
      </c>
      <c r="I25" s="1">
        <f>625+49</f>
        <v>674</v>
      </c>
      <c r="J25" s="1">
        <f>495+39</f>
        <v>534</v>
      </c>
      <c r="K25" s="1">
        <f>540+42</f>
        <v>582</v>
      </c>
      <c r="L25" s="1">
        <f>529+38</f>
        <v>567</v>
      </c>
      <c r="M25" s="1">
        <f>475+16</f>
        <v>491</v>
      </c>
      <c r="N25" s="1">
        <f>389+23</f>
        <v>412</v>
      </c>
      <c r="O25" s="1">
        <f>418+19</f>
        <v>437</v>
      </c>
      <c r="P25" s="1">
        <f>343+25</f>
        <v>368</v>
      </c>
      <c r="Q25" s="1">
        <f>388+13</f>
        <v>401</v>
      </c>
      <c r="R25" s="1">
        <f>322+12</f>
        <v>334</v>
      </c>
      <c r="S25" s="1">
        <f>311+16</f>
        <v>327</v>
      </c>
      <c r="T25" s="1">
        <f>280+19</f>
        <v>299</v>
      </c>
      <c r="U25" s="1">
        <f>290+16</f>
        <v>306</v>
      </c>
      <c r="V25" s="1">
        <f>260+11</f>
        <v>271</v>
      </c>
      <c r="W25" s="1">
        <f>241+18</f>
        <v>259</v>
      </c>
      <c r="X25" s="1">
        <f>272+11</f>
        <v>283</v>
      </c>
      <c r="Y25" s="1">
        <f>209+4</f>
        <v>213</v>
      </c>
      <c r="Z25" s="1">
        <f>168+7</f>
        <v>175</v>
      </c>
      <c r="AA25" s="1">
        <f>126+5</f>
        <v>131</v>
      </c>
      <c r="AB25" s="1">
        <f>127+4</f>
        <v>131</v>
      </c>
      <c r="AC25" s="1">
        <f>134+6</f>
        <v>140</v>
      </c>
      <c r="AD25" s="1">
        <f>139+5</f>
        <v>144</v>
      </c>
      <c r="AE25" s="1">
        <f>116+7</f>
        <v>123</v>
      </c>
      <c r="AF25" s="1">
        <f>118+8</f>
        <v>126</v>
      </c>
      <c r="AG25" s="1">
        <f>104+6</f>
        <v>110</v>
      </c>
      <c r="AH25" s="1">
        <f>121+6</f>
        <v>127</v>
      </c>
      <c r="AI25" s="1">
        <f>106+8</f>
        <v>114</v>
      </c>
      <c r="AJ25" s="1">
        <v>90</v>
      </c>
      <c r="AK25" s="1">
        <v>112</v>
      </c>
      <c r="AL25" s="1">
        <v>81</v>
      </c>
      <c r="AM25" s="1">
        <v>91</v>
      </c>
      <c r="AN25" s="1">
        <v>75</v>
      </c>
      <c r="AO25" s="1">
        <v>76</v>
      </c>
      <c r="AP25" s="2">
        <v>104</v>
      </c>
      <c r="AQ25" s="2">
        <v>71</v>
      </c>
      <c r="AR25" s="2">
        <v>60</v>
      </c>
      <c r="AS25" s="2">
        <v>83</v>
      </c>
      <c r="AT25" s="2">
        <v>86</v>
      </c>
      <c r="AU25" s="6">
        <v>65</v>
      </c>
      <c r="AV25" s="6">
        <v>71</v>
      </c>
      <c r="AW25" s="6">
        <v>70</v>
      </c>
      <c r="AX25" s="6">
        <v>61</v>
      </c>
      <c r="AY25" s="6">
        <v>57</v>
      </c>
      <c r="AZ25" s="6">
        <v>67</v>
      </c>
      <c r="BA25" s="1">
        <v>75</v>
      </c>
      <c r="BB25" s="6">
        <v>67</v>
      </c>
      <c r="BC25" s="8">
        <v>65</v>
      </c>
      <c r="BD25" s="7">
        <v>78</v>
      </c>
      <c r="BE25" s="7">
        <v>52</v>
      </c>
      <c r="BF25" s="7">
        <v>64</v>
      </c>
      <c r="BG25" s="7">
        <v>65</v>
      </c>
      <c r="BH25" s="7">
        <v>66</v>
      </c>
      <c r="BI25" s="4">
        <v>53</v>
      </c>
      <c r="BJ25" s="7">
        <v>48</v>
      </c>
      <c r="BK25" s="22">
        <v>54</v>
      </c>
      <c r="BL25" s="7">
        <v>63</v>
      </c>
      <c r="BM25" s="23">
        <v>65</v>
      </c>
      <c r="BN25" s="4">
        <v>82</v>
      </c>
      <c r="BO25" s="4">
        <v>52</v>
      </c>
      <c r="BP25" s="4">
        <v>49</v>
      </c>
      <c r="BQ25" s="67">
        <v>34</v>
      </c>
    </row>
    <row r="26" spans="1:69" s="7" customFormat="1" x14ac:dyDescent="0.15">
      <c r="A26" s="16" t="s">
        <v>48</v>
      </c>
      <c r="B26" s="63">
        <v>1932</v>
      </c>
      <c r="C26" s="64">
        <v>1800</v>
      </c>
      <c r="D26" s="64">
        <v>1835</v>
      </c>
      <c r="E26" s="64">
        <v>1512</v>
      </c>
      <c r="F26" s="64">
        <v>1403</v>
      </c>
      <c r="G26" s="63">
        <v>1417</v>
      </c>
      <c r="H26" s="1">
        <f>1214+103</f>
        <v>1317</v>
      </c>
      <c r="I26" s="1">
        <v>1338</v>
      </c>
      <c r="J26" s="1">
        <f>999+78</f>
        <v>1077</v>
      </c>
      <c r="K26" s="1">
        <f>1060+78</f>
        <v>1138</v>
      </c>
      <c r="L26" s="1">
        <f>1021+56</f>
        <v>1077</v>
      </c>
      <c r="M26" s="1">
        <f>985+47</f>
        <v>1032</v>
      </c>
      <c r="N26" s="1">
        <f>879+47</f>
        <v>926</v>
      </c>
      <c r="O26" s="1">
        <f>825+41</f>
        <v>866</v>
      </c>
      <c r="P26" s="1">
        <f>844+36</f>
        <v>880</v>
      </c>
      <c r="Q26" s="1">
        <f>785+34</f>
        <v>819</v>
      </c>
      <c r="R26" s="1">
        <f>624+26</f>
        <v>650</v>
      </c>
      <c r="S26" s="1">
        <f>688+20</f>
        <v>708</v>
      </c>
      <c r="T26" s="1">
        <f>620+24</f>
        <v>644</v>
      </c>
      <c r="U26" s="1">
        <f>596+25</f>
        <v>621</v>
      </c>
      <c r="V26" s="1">
        <f>567+29</f>
        <v>596</v>
      </c>
      <c r="W26" s="1">
        <f>486+25</f>
        <v>511</v>
      </c>
      <c r="X26" s="1">
        <f>518+15</f>
        <v>533</v>
      </c>
      <c r="Y26" s="1">
        <f>443+15</f>
        <v>458</v>
      </c>
      <c r="Z26" s="1">
        <f>377+10</f>
        <v>387</v>
      </c>
      <c r="AA26" s="1">
        <f>399+10</f>
        <v>409</v>
      </c>
      <c r="AB26" s="1">
        <f>321+13</f>
        <v>334</v>
      </c>
      <c r="AC26" s="1">
        <f>325+20</f>
        <v>345</v>
      </c>
      <c r="AD26" s="1">
        <f>322+8</f>
        <v>330</v>
      </c>
      <c r="AE26" s="1">
        <f>316+13</f>
        <v>329</v>
      </c>
      <c r="AF26" s="1">
        <f>314+9</f>
        <v>323</v>
      </c>
      <c r="AG26" s="1">
        <f>277+8</f>
        <v>285</v>
      </c>
      <c r="AH26" s="1">
        <f>219+5</f>
        <v>224</v>
      </c>
      <c r="AI26" s="1">
        <f>261+11</f>
        <v>272</v>
      </c>
      <c r="AJ26" s="1">
        <v>206</v>
      </c>
      <c r="AK26" s="1">
        <v>251</v>
      </c>
      <c r="AL26" s="1">
        <v>219</v>
      </c>
      <c r="AM26" s="1">
        <v>205</v>
      </c>
      <c r="AN26" s="1">
        <v>191</v>
      </c>
      <c r="AO26" s="1">
        <v>184</v>
      </c>
      <c r="AP26" s="2">
        <v>189</v>
      </c>
      <c r="AQ26" s="2">
        <v>164</v>
      </c>
      <c r="AR26" s="2">
        <v>140</v>
      </c>
      <c r="AS26" s="2">
        <v>150</v>
      </c>
      <c r="AT26" s="2">
        <v>172</v>
      </c>
      <c r="AU26" s="6">
        <v>137</v>
      </c>
      <c r="AV26" s="6">
        <v>127</v>
      </c>
      <c r="AW26" s="6">
        <v>125</v>
      </c>
      <c r="AX26" s="6">
        <v>136</v>
      </c>
      <c r="AY26" s="6">
        <v>138</v>
      </c>
      <c r="AZ26" s="6">
        <v>129</v>
      </c>
      <c r="BA26" s="3">
        <v>116</v>
      </c>
      <c r="BB26" s="6">
        <v>123</v>
      </c>
      <c r="BC26" s="8">
        <v>139</v>
      </c>
      <c r="BD26" s="7">
        <v>124</v>
      </c>
      <c r="BE26" s="7">
        <v>153</v>
      </c>
      <c r="BF26" s="7">
        <v>159</v>
      </c>
      <c r="BG26" s="7">
        <v>144</v>
      </c>
      <c r="BH26" s="7">
        <v>135</v>
      </c>
      <c r="BI26" s="4">
        <v>159</v>
      </c>
      <c r="BJ26" s="7">
        <v>136</v>
      </c>
      <c r="BK26" s="22">
        <v>128</v>
      </c>
      <c r="BL26" s="7">
        <v>137</v>
      </c>
      <c r="BM26" s="23">
        <v>137</v>
      </c>
      <c r="BN26" s="4">
        <v>103</v>
      </c>
      <c r="BO26" s="4">
        <v>118</v>
      </c>
      <c r="BP26" s="4">
        <v>115</v>
      </c>
      <c r="BQ26" s="67">
        <v>97</v>
      </c>
    </row>
    <row r="27" spans="1:69" s="7" customFormat="1" x14ac:dyDescent="0.15">
      <c r="A27" s="16" t="s">
        <v>49</v>
      </c>
      <c r="B27" s="63">
        <v>726</v>
      </c>
      <c r="C27" s="64">
        <v>667</v>
      </c>
      <c r="D27" s="64">
        <v>654</v>
      </c>
      <c r="E27" s="64">
        <v>601</v>
      </c>
      <c r="F27" s="64">
        <v>503</v>
      </c>
      <c r="G27" s="63">
        <v>503</v>
      </c>
      <c r="H27" s="1">
        <f>400+31</f>
        <v>431</v>
      </c>
      <c r="I27" s="1">
        <f>437+34</f>
        <v>471</v>
      </c>
      <c r="J27" s="1">
        <f>356+21</f>
        <v>377</v>
      </c>
      <c r="K27" s="1">
        <f>374+21</f>
        <v>395</v>
      </c>
      <c r="L27" s="1">
        <f>328+22</f>
        <v>350</v>
      </c>
      <c r="M27" s="1">
        <f>317+19</f>
        <v>336</v>
      </c>
      <c r="N27" s="1">
        <f>264+8</f>
        <v>272</v>
      </c>
      <c r="O27" s="1">
        <f>264+9</f>
        <v>273</v>
      </c>
      <c r="P27" s="1">
        <f>265+15</f>
        <v>280</v>
      </c>
      <c r="Q27" s="1">
        <f>265+11</f>
        <v>276</v>
      </c>
      <c r="R27" s="1">
        <f>218+7</f>
        <v>225</v>
      </c>
      <c r="S27" s="1">
        <f>204+15</f>
        <v>219</v>
      </c>
      <c r="T27" s="1">
        <f>182+8</f>
        <v>190</v>
      </c>
      <c r="U27" s="1">
        <f>195+8</f>
        <v>203</v>
      </c>
      <c r="V27" s="1">
        <f>168+4</f>
        <v>172</v>
      </c>
      <c r="W27" s="1">
        <f>157+4</f>
        <v>161</v>
      </c>
      <c r="X27" s="1">
        <f>146+4</f>
        <v>150</v>
      </c>
      <c r="Y27" s="1">
        <f>121+12</f>
        <v>133</v>
      </c>
      <c r="Z27" s="1">
        <f>92+9</f>
        <v>101</v>
      </c>
      <c r="AA27" s="1">
        <f>98+5</f>
        <v>103</v>
      </c>
      <c r="AB27" s="1">
        <f>80+3</f>
        <v>83</v>
      </c>
      <c r="AC27" s="1">
        <f>83+4</f>
        <v>87</v>
      </c>
      <c r="AD27" s="1">
        <f>73+3</f>
        <v>76</v>
      </c>
      <c r="AE27" s="1">
        <f>64+4</f>
        <v>68</v>
      </c>
      <c r="AF27" s="1">
        <f>69+2</f>
        <v>71</v>
      </c>
      <c r="AG27" s="1">
        <v>62</v>
      </c>
      <c r="AH27" s="1">
        <v>68</v>
      </c>
      <c r="AI27" s="1">
        <f>55+1</f>
        <v>56</v>
      </c>
      <c r="AJ27" s="1">
        <v>45</v>
      </c>
      <c r="AK27" s="1">
        <v>53</v>
      </c>
      <c r="AL27" s="1">
        <v>57</v>
      </c>
      <c r="AM27" s="1">
        <v>64</v>
      </c>
      <c r="AN27" s="1">
        <v>40</v>
      </c>
      <c r="AO27" s="1">
        <v>49</v>
      </c>
      <c r="AP27" s="2">
        <v>47</v>
      </c>
      <c r="AQ27" s="2">
        <v>46</v>
      </c>
      <c r="AR27" s="2">
        <v>38</v>
      </c>
      <c r="AS27" s="2">
        <v>55</v>
      </c>
      <c r="AT27" s="2">
        <v>54</v>
      </c>
      <c r="AU27" s="6">
        <v>37</v>
      </c>
      <c r="AV27" s="6">
        <v>35</v>
      </c>
      <c r="AW27" s="6">
        <v>40</v>
      </c>
      <c r="AX27" s="6">
        <v>36</v>
      </c>
      <c r="AY27" s="6">
        <v>28</v>
      </c>
      <c r="AZ27" s="6">
        <v>41</v>
      </c>
      <c r="BA27" s="1">
        <v>33</v>
      </c>
      <c r="BB27" s="6">
        <v>37</v>
      </c>
      <c r="BC27" s="8">
        <v>26</v>
      </c>
      <c r="BD27" s="7">
        <v>26</v>
      </c>
      <c r="BE27" s="7">
        <v>24</v>
      </c>
      <c r="BF27" s="7">
        <v>30</v>
      </c>
      <c r="BG27" s="7">
        <v>28</v>
      </c>
      <c r="BH27" s="7">
        <v>27</v>
      </c>
      <c r="BI27" s="4">
        <v>27</v>
      </c>
      <c r="BJ27" s="7">
        <v>39</v>
      </c>
      <c r="BK27" s="22">
        <v>23</v>
      </c>
      <c r="BL27" s="7">
        <v>37</v>
      </c>
      <c r="BM27" s="23">
        <v>36</v>
      </c>
      <c r="BN27" s="4">
        <v>38</v>
      </c>
      <c r="BO27" s="4">
        <v>25</v>
      </c>
      <c r="BP27" s="4">
        <v>23</v>
      </c>
      <c r="BQ27" s="67">
        <v>24</v>
      </c>
    </row>
    <row r="28" spans="1:69" s="7" customFormat="1" x14ac:dyDescent="0.15">
      <c r="A28" s="16" t="s">
        <v>50</v>
      </c>
      <c r="B28" s="63">
        <v>438</v>
      </c>
      <c r="C28" s="64">
        <v>416</v>
      </c>
      <c r="D28" s="64">
        <v>391</v>
      </c>
      <c r="E28" s="64">
        <v>298</v>
      </c>
      <c r="F28" s="64">
        <v>323</v>
      </c>
      <c r="G28" s="63">
        <v>263</v>
      </c>
      <c r="H28" s="1">
        <f>246+11</f>
        <v>257</v>
      </c>
      <c r="I28" s="1">
        <f>212+22</f>
        <v>234</v>
      </c>
      <c r="J28" s="1">
        <f>194+16</f>
        <v>210</v>
      </c>
      <c r="K28" s="1">
        <f>197+8</f>
        <v>205</v>
      </c>
      <c r="L28" s="1">
        <f>179+9</f>
        <v>188</v>
      </c>
      <c r="M28" s="1">
        <f>175+4</f>
        <v>179</v>
      </c>
      <c r="N28" s="1">
        <f>158+13</f>
        <v>171</v>
      </c>
      <c r="O28" s="1">
        <f>159+6</f>
        <v>165</v>
      </c>
      <c r="P28" s="1">
        <f>152+6</f>
        <v>158</v>
      </c>
      <c r="Q28" s="1">
        <f>128+1</f>
        <v>129</v>
      </c>
      <c r="R28" s="1">
        <f>122+4</f>
        <v>126</v>
      </c>
      <c r="S28" s="1">
        <f>103+9</f>
        <v>112</v>
      </c>
      <c r="T28" s="1">
        <f>81+5</f>
        <v>86</v>
      </c>
      <c r="U28" s="1">
        <f>83+8</f>
        <v>91</v>
      </c>
      <c r="V28" s="1">
        <f>81+5</f>
        <v>86</v>
      </c>
      <c r="W28" s="1">
        <f>79+2</f>
        <v>81</v>
      </c>
      <c r="X28" s="1">
        <f>71+4</f>
        <v>75</v>
      </c>
      <c r="Y28" s="1">
        <f>61+2</f>
        <v>63</v>
      </c>
      <c r="Z28" s="1">
        <f>61+5</f>
        <v>66</v>
      </c>
      <c r="AA28" s="1">
        <f>54+1</f>
        <v>55</v>
      </c>
      <c r="AB28" s="1">
        <f>60+3</f>
        <v>63</v>
      </c>
      <c r="AC28" s="1">
        <f>52+4</f>
        <v>56</v>
      </c>
      <c r="AD28" s="1">
        <f>49+2</f>
        <v>51</v>
      </c>
      <c r="AE28" s="1">
        <f>61+1</f>
        <v>62</v>
      </c>
      <c r="AF28" s="1">
        <f>38+2</f>
        <v>40</v>
      </c>
      <c r="AG28" s="1">
        <f>36+2</f>
        <v>38</v>
      </c>
      <c r="AH28" s="1">
        <f>54+1</f>
        <v>55</v>
      </c>
      <c r="AI28" s="1">
        <f>34+3</f>
        <v>37</v>
      </c>
      <c r="AJ28" s="1">
        <v>31</v>
      </c>
      <c r="AK28" s="1">
        <v>35</v>
      </c>
      <c r="AL28" s="1">
        <v>17</v>
      </c>
      <c r="AM28" s="1">
        <v>23</v>
      </c>
      <c r="AN28" s="1">
        <v>31</v>
      </c>
      <c r="AO28" s="1">
        <v>31</v>
      </c>
      <c r="AP28" s="2">
        <v>23</v>
      </c>
      <c r="AQ28" s="2">
        <v>17</v>
      </c>
      <c r="AR28" s="2">
        <v>21</v>
      </c>
      <c r="AS28" s="2">
        <v>29</v>
      </c>
      <c r="AT28" s="2">
        <v>23</v>
      </c>
      <c r="AU28" s="6">
        <v>25</v>
      </c>
      <c r="AV28" s="6">
        <v>22</v>
      </c>
      <c r="AW28" s="6">
        <v>30</v>
      </c>
      <c r="AX28" s="6">
        <v>14</v>
      </c>
      <c r="AY28" s="6">
        <v>17</v>
      </c>
      <c r="AZ28" s="6">
        <v>23</v>
      </c>
      <c r="BA28" s="3">
        <v>24</v>
      </c>
      <c r="BB28" s="6">
        <v>18</v>
      </c>
      <c r="BC28" s="8">
        <v>25</v>
      </c>
      <c r="BD28" s="7">
        <v>14</v>
      </c>
      <c r="BE28" s="7">
        <v>19</v>
      </c>
      <c r="BF28" s="7">
        <v>22</v>
      </c>
      <c r="BG28" s="7">
        <v>16</v>
      </c>
      <c r="BH28" s="7">
        <v>18</v>
      </c>
      <c r="BI28" s="4">
        <v>7</v>
      </c>
      <c r="BJ28" s="7">
        <v>23</v>
      </c>
      <c r="BK28" s="22">
        <v>13</v>
      </c>
      <c r="BL28" s="7">
        <v>17</v>
      </c>
      <c r="BM28" s="23">
        <v>19</v>
      </c>
      <c r="BN28" s="4">
        <v>19</v>
      </c>
      <c r="BO28" s="4">
        <v>13</v>
      </c>
      <c r="BP28" s="4">
        <v>13</v>
      </c>
      <c r="BQ28" s="67">
        <v>17</v>
      </c>
    </row>
    <row r="29" spans="1:69" s="7" customFormat="1" x14ac:dyDescent="0.15">
      <c r="A29" s="16" t="s">
        <v>51</v>
      </c>
      <c r="B29" s="63">
        <v>1099</v>
      </c>
      <c r="C29" s="64">
        <v>1005</v>
      </c>
      <c r="D29" s="64">
        <v>995</v>
      </c>
      <c r="E29" s="64">
        <v>865</v>
      </c>
      <c r="F29" s="64">
        <v>780</v>
      </c>
      <c r="G29" s="63">
        <v>696</v>
      </c>
      <c r="H29" s="1">
        <f>574+51</f>
        <v>625</v>
      </c>
      <c r="I29" s="1">
        <f>637+40</f>
        <v>677</v>
      </c>
      <c r="J29" s="1">
        <f>508+34</f>
        <v>542</v>
      </c>
      <c r="K29" s="1">
        <f>523+36</f>
        <v>559</v>
      </c>
      <c r="L29" s="1">
        <f>501+30</f>
        <v>531</v>
      </c>
      <c r="M29" s="1">
        <f>458+20</f>
        <v>478</v>
      </c>
      <c r="N29" s="1">
        <f>459+18</f>
        <v>477</v>
      </c>
      <c r="O29" s="1">
        <f>370+19</f>
        <v>389</v>
      </c>
      <c r="P29" s="1">
        <f>418+11</f>
        <v>429</v>
      </c>
      <c r="Q29" s="1">
        <f>360+20</f>
        <v>380</v>
      </c>
      <c r="R29" s="1">
        <f>345+9</f>
        <v>354</v>
      </c>
      <c r="S29" s="1">
        <f>322+9</f>
        <v>331</v>
      </c>
      <c r="T29" s="1">
        <f>288+11</f>
        <v>299</v>
      </c>
      <c r="U29" s="1">
        <f>294+9</f>
        <v>303</v>
      </c>
      <c r="V29" s="1">
        <f>230+11</f>
        <v>241</v>
      </c>
      <c r="W29" s="1">
        <f>243+9</f>
        <v>252</v>
      </c>
      <c r="X29" s="1">
        <f>226+4</f>
        <v>230</v>
      </c>
      <c r="Y29" s="1">
        <f>215+8</f>
        <v>223</v>
      </c>
      <c r="Z29" s="1">
        <f>176+7</f>
        <v>183</v>
      </c>
      <c r="AA29" s="1">
        <f>161+8</f>
        <v>169</v>
      </c>
      <c r="AB29" s="1">
        <f>140+8</f>
        <v>148</v>
      </c>
      <c r="AC29" s="1">
        <f>122+10</f>
        <v>132</v>
      </c>
      <c r="AD29" s="1">
        <f>131+5</f>
        <v>136</v>
      </c>
      <c r="AE29" s="1">
        <f>105+8</f>
        <v>113</v>
      </c>
      <c r="AF29" s="1">
        <f>123+5</f>
        <v>128</v>
      </c>
      <c r="AG29" s="1">
        <f>103+4</f>
        <v>107</v>
      </c>
      <c r="AH29" s="1">
        <f>96+7</f>
        <v>103</v>
      </c>
      <c r="AI29" s="1">
        <f>69+8</f>
        <v>77</v>
      </c>
      <c r="AJ29" s="1">
        <v>81</v>
      </c>
      <c r="AK29" s="1">
        <v>99</v>
      </c>
      <c r="AL29" s="1">
        <v>81</v>
      </c>
      <c r="AM29" s="1">
        <v>78</v>
      </c>
      <c r="AN29" s="1">
        <v>69</v>
      </c>
      <c r="AO29" s="1">
        <v>77</v>
      </c>
      <c r="AP29" s="2">
        <v>71</v>
      </c>
      <c r="AQ29" s="2">
        <v>57</v>
      </c>
      <c r="AR29" s="2">
        <v>55</v>
      </c>
      <c r="AS29" s="2">
        <v>64</v>
      </c>
      <c r="AT29" s="2">
        <v>53</v>
      </c>
      <c r="AU29" s="6">
        <v>54</v>
      </c>
      <c r="AV29" s="6">
        <v>57</v>
      </c>
      <c r="AW29" s="6">
        <v>46</v>
      </c>
      <c r="AX29" s="6">
        <v>51</v>
      </c>
      <c r="AY29" s="6">
        <v>46</v>
      </c>
      <c r="AZ29" s="6">
        <v>44</v>
      </c>
      <c r="BA29" s="3">
        <v>41</v>
      </c>
      <c r="BB29" s="6">
        <v>36</v>
      </c>
      <c r="BC29" s="8">
        <v>45</v>
      </c>
      <c r="BD29" s="7">
        <v>53</v>
      </c>
      <c r="BE29" s="7">
        <v>37</v>
      </c>
      <c r="BF29" s="7">
        <v>52</v>
      </c>
      <c r="BG29" s="7">
        <v>45</v>
      </c>
      <c r="BH29" s="7">
        <v>39</v>
      </c>
      <c r="BI29" s="4">
        <v>58</v>
      </c>
      <c r="BJ29" s="7">
        <v>52</v>
      </c>
      <c r="BK29" s="22">
        <v>48</v>
      </c>
      <c r="BL29" s="7">
        <v>53</v>
      </c>
      <c r="BM29" s="23">
        <v>58</v>
      </c>
      <c r="BN29" s="4">
        <v>62</v>
      </c>
      <c r="BO29" s="4">
        <v>43</v>
      </c>
      <c r="BP29" s="4">
        <v>53</v>
      </c>
      <c r="BQ29" s="67">
        <v>41</v>
      </c>
    </row>
    <row r="30" spans="1:69" s="7" customFormat="1" x14ac:dyDescent="0.15">
      <c r="A30" s="16" t="s">
        <v>52</v>
      </c>
      <c r="B30" s="63">
        <v>3061</v>
      </c>
      <c r="C30" s="64">
        <v>3031</v>
      </c>
      <c r="D30" s="64">
        <v>2967</v>
      </c>
      <c r="E30" s="64">
        <v>2546</v>
      </c>
      <c r="F30" s="64">
        <v>2319</v>
      </c>
      <c r="G30" s="63">
        <v>2458</v>
      </c>
      <c r="H30" s="1">
        <f>1934+154</f>
        <v>2088</v>
      </c>
      <c r="I30" s="1">
        <f>2073+142</f>
        <v>2215</v>
      </c>
      <c r="J30" s="1">
        <f>1720+102</f>
        <v>1822</v>
      </c>
      <c r="K30" s="1">
        <f>1757+107</f>
        <v>1864</v>
      </c>
      <c r="L30" s="1">
        <f>1694+106</f>
        <v>1800</v>
      </c>
      <c r="M30" s="1">
        <f>1609+91</f>
        <v>1700</v>
      </c>
      <c r="N30" s="1">
        <f>1419+66</f>
        <v>1485</v>
      </c>
      <c r="O30" s="1">
        <f>1388+66</f>
        <v>1454</v>
      </c>
      <c r="P30" s="1">
        <f>1429+71</f>
        <v>1500</v>
      </c>
      <c r="Q30" s="1">
        <f>1323+59</f>
        <v>1382</v>
      </c>
      <c r="R30" s="1">
        <f>1159+52</f>
        <v>1211</v>
      </c>
      <c r="S30" s="1">
        <f>1069+45</f>
        <v>1114</v>
      </c>
      <c r="T30" s="1">
        <f>950+42</f>
        <v>992</v>
      </c>
      <c r="U30" s="1">
        <f>906+40</f>
        <v>946</v>
      </c>
      <c r="V30" s="1">
        <f>821+33</f>
        <v>854</v>
      </c>
      <c r="W30" s="1">
        <f>785+38</f>
        <v>823</v>
      </c>
      <c r="X30" s="1">
        <f>700+34</f>
        <v>734</v>
      </c>
      <c r="Y30" s="1">
        <f>627+23</f>
        <v>650</v>
      </c>
      <c r="Z30" s="1">
        <f>494+26</f>
        <v>520</v>
      </c>
      <c r="AA30" s="1">
        <f>523+22</f>
        <v>545</v>
      </c>
      <c r="AB30" s="1">
        <f>471+18</f>
        <v>489</v>
      </c>
      <c r="AC30" s="1">
        <f>414+30</f>
        <v>444</v>
      </c>
      <c r="AD30" s="1">
        <f>441+23</f>
        <v>464</v>
      </c>
      <c r="AE30" s="1">
        <f>396+12</f>
        <v>408</v>
      </c>
      <c r="AF30" s="1">
        <f>358+24</f>
        <v>382</v>
      </c>
      <c r="AG30" s="1">
        <f>339+10</f>
        <v>349</v>
      </c>
      <c r="AH30" s="1">
        <f>304+15</f>
        <v>319</v>
      </c>
      <c r="AI30" s="1">
        <f>304+13</f>
        <v>317</v>
      </c>
      <c r="AJ30" s="1">
        <v>301</v>
      </c>
      <c r="AK30" s="1">
        <v>298</v>
      </c>
      <c r="AL30" s="1">
        <v>275</v>
      </c>
      <c r="AM30" s="1">
        <v>293</v>
      </c>
      <c r="AN30" s="1">
        <v>291</v>
      </c>
      <c r="AO30" s="1">
        <v>267</v>
      </c>
      <c r="AP30" s="2">
        <v>285</v>
      </c>
      <c r="AQ30" s="2">
        <v>309</v>
      </c>
      <c r="AR30" s="2">
        <v>283</v>
      </c>
      <c r="AS30" s="2">
        <v>331</v>
      </c>
      <c r="AT30" s="2">
        <v>346</v>
      </c>
      <c r="AU30" s="6">
        <v>283</v>
      </c>
      <c r="AV30" s="6">
        <v>260</v>
      </c>
      <c r="AW30" s="6">
        <v>246</v>
      </c>
      <c r="AX30" s="6">
        <v>271</v>
      </c>
      <c r="AY30" s="6">
        <v>239</v>
      </c>
      <c r="AZ30" s="6">
        <v>227</v>
      </c>
      <c r="BA30" s="3">
        <v>243</v>
      </c>
      <c r="BB30" s="6">
        <v>225</v>
      </c>
      <c r="BC30" s="8">
        <v>216</v>
      </c>
      <c r="BD30" s="7">
        <v>215</v>
      </c>
      <c r="BE30" s="7">
        <v>178</v>
      </c>
      <c r="BF30" s="7">
        <v>217</v>
      </c>
      <c r="BG30" s="7">
        <v>219</v>
      </c>
      <c r="BH30" s="7">
        <v>250</v>
      </c>
      <c r="BI30" s="4">
        <v>247</v>
      </c>
      <c r="BJ30" s="7">
        <v>237</v>
      </c>
      <c r="BK30" s="22">
        <v>237</v>
      </c>
      <c r="BL30" s="7">
        <v>290</v>
      </c>
      <c r="BM30" s="23">
        <v>250</v>
      </c>
      <c r="BN30" s="4">
        <v>228</v>
      </c>
      <c r="BO30" s="4">
        <v>200</v>
      </c>
      <c r="BP30" s="4">
        <v>186</v>
      </c>
      <c r="BQ30" s="67">
        <v>139</v>
      </c>
    </row>
    <row r="31" spans="1:69" s="7" customFormat="1" x14ac:dyDescent="0.15">
      <c r="A31" s="16" t="s">
        <v>53</v>
      </c>
      <c r="B31" s="63">
        <v>2280</v>
      </c>
      <c r="C31" s="64">
        <v>2181</v>
      </c>
      <c r="D31" s="64">
        <v>2220</v>
      </c>
      <c r="E31" s="64">
        <v>1825</v>
      </c>
      <c r="F31" s="64">
        <v>1751</v>
      </c>
      <c r="G31" s="63">
        <v>1691</v>
      </c>
      <c r="H31" s="1">
        <f>1330+101</f>
        <v>1431</v>
      </c>
      <c r="I31" s="1">
        <f>1358+87</f>
        <v>1445</v>
      </c>
      <c r="J31" s="1">
        <f>1157+66</f>
        <v>1223</v>
      </c>
      <c r="K31" s="1">
        <f>1195+64</f>
        <v>1259</v>
      </c>
      <c r="L31" s="1">
        <f>1143+55</f>
        <v>1198</v>
      </c>
      <c r="M31" s="1">
        <f>1025+48</f>
        <v>1073</v>
      </c>
      <c r="N31" s="1">
        <f>964+60</f>
        <v>1024</v>
      </c>
      <c r="O31" s="1">
        <f>895+42</f>
        <v>937</v>
      </c>
      <c r="P31" s="1">
        <f>840+44</f>
        <v>884</v>
      </c>
      <c r="Q31" s="1">
        <f>835+37</f>
        <v>872</v>
      </c>
      <c r="R31" s="1">
        <f>767+25</f>
        <v>792</v>
      </c>
      <c r="S31" s="1">
        <f>667+39</f>
        <v>706</v>
      </c>
      <c r="T31" s="1">
        <f>642+26</f>
        <v>668</v>
      </c>
      <c r="U31" s="1">
        <f>660+25</f>
        <v>685</v>
      </c>
      <c r="V31" s="1">
        <f>555+30</f>
        <v>585</v>
      </c>
      <c r="W31" s="1">
        <f>518+19</f>
        <v>537</v>
      </c>
      <c r="X31" s="1">
        <f>460+15</f>
        <v>475</v>
      </c>
      <c r="Y31" s="1">
        <f>417+12</f>
        <v>429</v>
      </c>
      <c r="Z31" s="1">
        <f>370+19</f>
        <v>389</v>
      </c>
      <c r="AA31" s="1">
        <f>282+18</f>
        <v>300</v>
      </c>
      <c r="AB31" s="1">
        <f>296+11</f>
        <v>307</v>
      </c>
      <c r="AC31" s="1">
        <f>279+12</f>
        <v>291</v>
      </c>
      <c r="AD31" s="1">
        <f>288+10</f>
        <v>298</v>
      </c>
      <c r="AE31" s="1">
        <f>266+19</f>
        <v>285</v>
      </c>
      <c r="AF31" s="1">
        <f>251+16</f>
        <v>267</v>
      </c>
      <c r="AG31" s="1">
        <f>216+6</f>
        <v>222</v>
      </c>
      <c r="AH31" s="1">
        <f>195+9</f>
        <v>204</v>
      </c>
      <c r="AI31" s="1">
        <f>195+17</f>
        <v>212</v>
      </c>
      <c r="AJ31" s="1">
        <v>177</v>
      </c>
      <c r="AK31" s="1">
        <v>194</v>
      </c>
      <c r="AL31" s="1">
        <v>197</v>
      </c>
      <c r="AM31" s="1">
        <v>205</v>
      </c>
      <c r="AN31" s="1">
        <v>179</v>
      </c>
      <c r="AO31" s="1">
        <v>165</v>
      </c>
      <c r="AP31" s="2">
        <v>173</v>
      </c>
      <c r="AQ31" s="2">
        <v>156</v>
      </c>
      <c r="AR31" s="2">
        <v>167</v>
      </c>
      <c r="AS31" s="2">
        <v>156</v>
      </c>
      <c r="AT31" s="2">
        <v>130</v>
      </c>
      <c r="AU31" s="6">
        <v>126</v>
      </c>
      <c r="AV31" s="6">
        <v>121</v>
      </c>
      <c r="AW31" s="6">
        <v>94</v>
      </c>
      <c r="AX31" s="6">
        <v>122</v>
      </c>
      <c r="AY31" s="6">
        <v>96</v>
      </c>
      <c r="AZ31" s="6">
        <v>97</v>
      </c>
      <c r="BA31" s="1">
        <v>119</v>
      </c>
      <c r="BB31" s="6">
        <v>118</v>
      </c>
      <c r="BC31" s="8">
        <v>140</v>
      </c>
      <c r="BD31" s="7">
        <v>106</v>
      </c>
      <c r="BE31" s="7">
        <v>110</v>
      </c>
      <c r="BF31" s="7">
        <v>108</v>
      </c>
      <c r="BG31" s="7">
        <v>91</v>
      </c>
      <c r="BH31" s="7">
        <v>90</v>
      </c>
      <c r="BI31" s="4">
        <v>114</v>
      </c>
      <c r="BJ31" s="7">
        <v>101</v>
      </c>
      <c r="BK31" s="22">
        <v>90</v>
      </c>
      <c r="BL31" s="7">
        <v>145</v>
      </c>
      <c r="BM31" s="23">
        <v>99</v>
      </c>
      <c r="BN31" s="4">
        <v>107</v>
      </c>
      <c r="BO31" s="4">
        <v>99</v>
      </c>
      <c r="BP31" s="4">
        <v>100</v>
      </c>
      <c r="BQ31" s="67">
        <v>96</v>
      </c>
    </row>
    <row r="32" spans="1:69" s="7" customFormat="1" x14ac:dyDescent="0.15">
      <c r="A32" s="16" t="s">
        <v>54</v>
      </c>
      <c r="B32" s="63">
        <v>381</v>
      </c>
      <c r="C32" s="64">
        <v>337</v>
      </c>
      <c r="D32" s="64">
        <v>345</v>
      </c>
      <c r="E32" s="64">
        <v>316</v>
      </c>
      <c r="F32" s="64">
        <v>293</v>
      </c>
      <c r="G32" s="63">
        <v>287</v>
      </c>
      <c r="H32" s="1">
        <f>227+21</f>
        <v>248</v>
      </c>
      <c r="I32" s="1">
        <f>206+17</f>
        <v>223</v>
      </c>
      <c r="J32" s="1">
        <f>181+20</f>
        <v>201</v>
      </c>
      <c r="K32" s="1">
        <f>190+10</f>
        <v>200</v>
      </c>
      <c r="L32" s="1">
        <f>180+15</f>
        <v>195</v>
      </c>
      <c r="M32" s="1">
        <f>167+11</f>
        <v>178</v>
      </c>
      <c r="N32" s="1">
        <f>150+9</f>
        <v>159</v>
      </c>
      <c r="O32" s="1">
        <f>161+13</f>
        <v>174</v>
      </c>
      <c r="P32" s="1">
        <f>171+6</f>
        <v>177</v>
      </c>
      <c r="Q32" s="1">
        <f>146+9</f>
        <v>155</v>
      </c>
      <c r="R32" s="1">
        <f>110+4</f>
        <v>114</v>
      </c>
      <c r="S32" s="1">
        <f>93+2</f>
        <v>95</v>
      </c>
      <c r="T32" s="1">
        <f>116+4</f>
        <v>120</v>
      </c>
      <c r="U32" s="1">
        <f>101+5</f>
        <v>106</v>
      </c>
      <c r="V32" s="1">
        <f>99+5</f>
        <v>104</v>
      </c>
      <c r="W32" s="1">
        <f>82+1</f>
        <v>83</v>
      </c>
      <c r="X32" s="1">
        <f>74+3</f>
        <v>77</v>
      </c>
      <c r="Y32" s="1">
        <f>68+4</f>
        <v>72</v>
      </c>
      <c r="Z32" s="1">
        <f>83+2</f>
        <v>85</v>
      </c>
      <c r="AA32" s="1">
        <f>60+2</f>
        <v>62</v>
      </c>
      <c r="AB32" s="1">
        <f>45+5</f>
        <v>50</v>
      </c>
      <c r="AC32" s="1">
        <f>37+2</f>
        <v>39</v>
      </c>
      <c r="AD32" s="1">
        <f>39+2</f>
        <v>41</v>
      </c>
      <c r="AE32" s="1">
        <f>33+1</f>
        <v>34</v>
      </c>
      <c r="AF32" s="1">
        <f>42+2</f>
        <v>44</v>
      </c>
      <c r="AG32" s="1">
        <f>28+1</f>
        <v>29</v>
      </c>
      <c r="AH32" s="1">
        <f>35+4</f>
        <v>39</v>
      </c>
      <c r="AI32" s="1">
        <f>31+3</f>
        <v>34</v>
      </c>
      <c r="AJ32" s="1">
        <v>39</v>
      </c>
      <c r="AK32" s="1">
        <v>34</v>
      </c>
      <c r="AL32" s="1">
        <v>33</v>
      </c>
      <c r="AM32" s="1">
        <v>27</v>
      </c>
      <c r="AN32" s="1">
        <v>37</v>
      </c>
      <c r="AO32" s="1">
        <v>29</v>
      </c>
      <c r="AP32" s="2">
        <v>34</v>
      </c>
      <c r="AQ32" s="2">
        <v>27</v>
      </c>
      <c r="AR32" s="2">
        <v>26</v>
      </c>
      <c r="AS32" s="2">
        <v>29</v>
      </c>
      <c r="AT32" s="2">
        <v>27</v>
      </c>
      <c r="AU32" s="6">
        <v>27</v>
      </c>
      <c r="AV32" s="6">
        <v>20</v>
      </c>
      <c r="AW32" s="6">
        <v>22</v>
      </c>
      <c r="AX32" s="6">
        <v>21</v>
      </c>
      <c r="AY32" s="6">
        <v>29</v>
      </c>
      <c r="AZ32" s="6">
        <v>14</v>
      </c>
      <c r="BA32" s="3">
        <v>14</v>
      </c>
      <c r="BB32" s="6">
        <v>15</v>
      </c>
      <c r="BC32" s="8">
        <v>14</v>
      </c>
      <c r="BD32" s="7">
        <v>12</v>
      </c>
      <c r="BE32" s="7">
        <v>17</v>
      </c>
      <c r="BF32" s="7">
        <v>19</v>
      </c>
      <c r="BG32" s="7">
        <v>28</v>
      </c>
      <c r="BH32" s="7">
        <v>18</v>
      </c>
      <c r="BI32" s="4">
        <v>21</v>
      </c>
      <c r="BJ32" s="7">
        <v>17</v>
      </c>
      <c r="BK32" s="22">
        <v>16</v>
      </c>
      <c r="BL32" s="7">
        <v>27</v>
      </c>
      <c r="BM32" s="23">
        <v>15</v>
      </c>
      <c r="BN32" s="4">
        <v>34</v>
      </c>
      <c r="BO32" s="4">
        <v>15</v>
      </c>
      <c r="BP32" s="4">
        <v>20</v>
      </c>
      <c r="BQ32" s="67">
        <v>20</v>
      </c>
    </row>
    <row r="33" spans="1:69" s="7" customFormat="1" x14ac:dyDescent="0.15">
      <c r="A33" s="16" t="s">
        <v>55</v>
      </c>
      <c r="B33" s="63">
        <v>557</v>
      </c>
      <c r="C33" s="64">
        <v>548</v>
      </c>
      <c r="D33" s="64">
        <v>526</v>
      </c>
      <c r="E33" s="64">
        <v>465</v>
      </c>
      <c r="F33" s="64">
        <v>437</v>
      </c>
      <c r="G33" s="63">
        <v>411</v>
      </c>
      <c r="H33" s="1">
        <f>362+26</f>
        <v>388</v>
      </c>
      <c r="I33" s="1">
        <f>334+24</f>
        <v>358</v>
      </c>
      <c r="J33" s="1">
        <f>286+23</f>
        <v>309</v>
      </c>
      <c r="K33" s="1">
        <f>256+14</f>
        <v>270</v>
      </c>
      <c r="L33" s="1">
        <f>270+17</f>
        <v>287</v>
      </c>
      <c r="M33" s="1">
        <f>259+12</f>
        <v>271</v>
      </c>
      <c r="N33" s="1">
        <f>221+15</f>
        <v>236</v>
      </c>
      <c r="O33" s="1">
        <f>188+12</f>
        <v>200</v>
      </c>
      <c r="P33" s="1">
        <f>212+4</f>
        <v>216</v>
      </c>
      <c r="Q33" s="1">
        <f>210+13</f>
        <v>223</v>
      </c>
      <c r="R33" s="1">
        <f>156+8</f>
        <v>164</v>
      </c>
      <c r="S33" s="1">
        <f>171+5</f>
        <v>176</v>
      </c>
      <c r="T33" s="1">
        <f>139+5</f>
        <v>144</v>
      </c>
      <c r="U33" s="1">
        <f>146+7</f>
        <v>153</v>
      </c>
      <c r="V33" s="1">
        <v>158</v>
      </c>
      <c r="W33" s="1">
        <f>147+2</f>
        <v>149</v>
      </c>
      <c r="X33" s="1">
        <f>113+5</f>
        <v>118</v>
      </c>
      <c r="Y33" s="1">
        <f>117+4</f>
        <v>121</v>
      </c>
      <c r="Z33" s="1">
        <f>97+1</f>
        <v>98</v>
      </c>
      <c r="AA33" s="1">
        <f>96+3</f>
        <v>99</v>
      </c>
      <c r="AB33" s="1">
        <f>87+2</f>
        <v>89</v>
      </c>
      <c r="AC33" s="1">
        <f>103+3</f>
        <v>106</v>
      </c>
      <c r="AD33" s="1">
        <f>70+2</f>
        <v>72</v>
      </c>
      <c r="AE33" s="1">
        <f>60+1</f>
        <v>61</v>
      </c>
      <c r="AF33" s="1">
        <f>57+2</f>
        <v>59</v>
      </c>
      <c r="AG33" s="1">
        <f>50+2</f>
        <v>52</v>
      </c>
      <c r="AH33" s="1">
        <f>64+1</f>
        <v>65</v>
      </c>
      <c r="AI33" s="1">
        <f>49+1</f>
        <v>50</v>
      </c>
      <c r="AJ33" s="1">
        <v>40</v>
      </c>
      <c r="AK33" s="1">
        <v>37</v>
      </c>
      <c r="AL33" s="1">
        <v>30</v>
      </c>
      <c r="AM33" s="1">
        <v>49</v>
      </c>
      <c r="AN33" s="1">
        <v>31</v>
      </c>
      <c r="AO33" s="1">
        <v>37</v>
      </c>
      <c r="AP33" s="2">
        <v>44</v>
      </c>
      <c r="AQ33" s="2">
        <v>33</v>
      </c>
      <c r="AR33" s="2">
        <v>25</v>
      </c>
      <c r="AS33" s="2">
        <v>25</v>
      </c>
      <c r="AT33" s="2">
        <v>37</v>
      </c>
      <c r="AU33" s="6">
        <v>29</v>
      </c>
      <c r="AV33" s="6">
        <v>25</v>
      </c>
      <c r="AW33" s="6">
        <v>20</v>
      </c>
      <c r="AX33" s="6">
        <v>16</v>
      </c>
      <c r="AY33" s="6">
        <v>27</v>
      </c>
      <c r="AZ33" s="6">
        <v>32</v>
      </c>
      <c r="BA33" s="1">
        <v>23</v>
      </c>
      <c r="BB33" s="6">
        <v>16</v>
      </c>
      <c r="BC33" s="8">
        <v>28</v>
      </c>
      <c r="BD33" s="7">
        <v>19</v>
      </c>
      <c r="BE33" s="7">
        <v>29</v>
      </c>
      <c r="BF33" s="7">
        <v>36</v>
      </c>
      <c r="BG33" s="7">
        <v>32</v>
      </c>
      <c r="BH33" s="7">
        <v>23</v>
      </c>
      <c r="BI33" s="4">
        <v>14</v>
      </c>
      <c r="BJ33" s="7">
        <v>24</v>
      </c>
      <c r="BK33" s="22">
        <v>16</v>
      </c>
      <c r="BL33" s="7">
        <v>16</v>
      </c>
      <c r="BM33" s="23">
        <v>24</v>
      </c>
      <c r="BN33" s="4">
        <v>20</v>
      </c>
      <c r="BO33" s="4">
        <v>17</v>
      </c>
      <c r="BP33" s="4">
        <v>11</v>
      </c>
      <c r="BQ33" s="67">
        <v>12</v>
      </c>
    </row>
    <row r="34" spans="1:69" s="7" customFormat="1" x14ac:dyDescent="0.15">
      <c r="A34" s="16" t="s">
        <v>56</v>
      </c>
      <c r="B34" s="63">
        <v>293</v>
      </c>
      <c r="C34" s="64">
        <v>256</v>
      </c>
      <c r="D34" s="64">
        <v>278</v>
      </c>
      <c r="E34" s="64">
        <v>201</v>
      </c>
      <c r="F34" s="64">
        <v>207</v>
      </c>
      <c r="G34" s="63">
        <v>183</v>
      </c>
      <c r="H34" s="1">
        <f>143+15</f>
        <v>158</v>
      </c>
      <c r="I34" s="1">
        <f>143+15</f>
        <v>158</v>
      </c>
      <c r="J34" s="1">
        <f>136+12</f>
        <v>148</v>
      </c>
      <c r="K34" s="1">
        <f>118+11</f>
        <v>129</v>
      </c>
      <c r="L34" s="1">
        <f>113+3</f>
        <v>116</v>
      </c>
      <c r="M34" s="1">
        <f>101+9</f>
        <v>110</v>
      </c>
      <c r="N34" s="1">
        <f>73+3</f>
        <v>76</v>
      </c>
      <c r="O34" s="1">
        <f>63+3</f>
        <v>66</v>
      </c>
      <c r="P34" s="1">
        <f>68+4</f>
        <v>72</v>
      </c>
      <c r="Q34" s="1">
        <f>58+2</f>
        <v>60</v>
      </c>
      <c r="R34" s="1">
        <f>44+5</f>
        <v>49</v>
      </c>
      <c r="S34" s="1">
        <f>49+3</f>
        <v>52</v>
      </c>
      <c r="T34" s="1">
        <f>48+2</f>
        <v>50</v>
      </c>
      <c r="U34" s="1">
        <f>46+4</f>
        <v>50</v>
      </c>
      <c r="V34" s="1">
        <f>30+1</f>
        <v>31</v>
      </c>
      <c r="W34" s="1">
        <f>35+3</f>
        <v>38</v>
      </c>
      <c r="X34" s="1">
        <f>34+2</f>
        <v>36</v>
      </c>
      <c r="Y34" s="1">
        <f>41+1</f>
        <v>42</v>
      </c>
      <c r="Z34" s="1">
        <v>29</v>
      </c>
      <c r="AA34" s="1">
        <f>30+4</f>
        <v>34</v>
      </c>
      <c r="AB34" s="1">
        <f>24+4</f>
        <v>28</v>
      </c>
      <c r="AC34" s="1">
        <f>20+2</f>
        <v>22</v>
      </c>
      <c r="AD34" s="1">
        <v>23</v>
      </c>
      <c r="AE34" s="1">
        <v>23</v>
      </c>
      <c r="AF34" s="1">
        <v>16</v>
      </c>
      <c r="AG34" s="1">
        <f>21+1</f>
        <v>22</v>
      </c>
      <c r="AH34" s="1">
        <f>12+3</f>
        <v>15</v>
      </c>
      <c r="AI34" s="1">
        <f>10+1</f>
        <v>11</v>
      </c>
      <c r="AJ34" s="1">
        <v>15</v>
      </c>
      <c r="AK34" s="1">
        <v>13</v>
      </c>
      <c r="AL34" s="1">
        <v>12</v>
      </c>
      <c r="AM34" s="1">
        <v>10</v>
      </c>
      <c r="AN34" s="1">
        <v>14</v>
      </c>
      <c r="AO34" s="1">
        <v>10</v>
      </c>
      <c r="AP34" s="2">
        <v>7</v>
      </c>
      <c r="AQ34" s="2">
        <v>12</v>
      </c>
      <c r="AR34" s="2">
        <v>7</v>
      </c>
      <c r="AS34" s="2">
        <v>5</v>
      </c>
      <c r="AT34" s="2">
        <v>10</v>
      </c>
      <c r="AU34" s="6">
        <v>8</v>
      </c>
      <c r="AV34" s="6">
        <v>8</v>
      </c>
      <c r="AW34" s="6">
        <v>10</v>
      </c>
      <c r="AX34" s="6">
        <v>9</v>
      </c>
      <c r="AY34" s="6">
        <v>17</v>
      </c>
      <c r="AZ34" s="6">
        <v>12</v>
      </c>
      <c r="BA34" s="3">
        <v>5</v>
      </c>
      <c r="BB34" s="6">
        <v>10</v>
      </c>
      <c r="BC34" s="6">
        <v>6</v>
      </c>
      <c r="BD34" s="7">
        <v>9</v>
      </c>
      <c r="BE34" s="7">
        <v>7</v>
      </c>
      <c r="BF34" s="7">
        <v>11</v>
      </c>
      <c r="BG34" s="7">
        <v>5</v>
      </c>
      <c r="BH34" s="7">
        <v>5</v>
      </c>
      <c r="BI34" s="4">
        <v>10</v>
      </c>
      <c r="BJ34" s="7">
        <v>8</v>
      </c>
      <c r="BK34" s="22">
        <v>10</v>
      </c>
      <c r="BL34" s="7">
        <v>9</v>
      </c>
      <c r="BM34" s="23">
        <v>6</v>
      </c>
      <c r="BN34" s="4">
        <v>12</v>
      </c>
      <c r="BO34" s="4">
        <v>10</v>
      </c>
      <c r="BP34" s="4">
        <v>4</v>
      </c>
      <c r="BQ34" s="67">
        <v>5</v>
      </c>
    </row>
    <row r="35" spans="1:69" s="7" customFormat="1" x14ac:dyDescent="0.15">
      <c r="A35" s="16" t="s">
        <v>57</v>
      </c>
      <c r="B35" s="63">
        <v>523</v>
      </c>
      <c r="C35" s="64">
        <v>497</v>
      </c>
      <c r="D35" s="64">
        <v>446</v>
      </c>
      <c r="E35" s="64">
        <v>377</v>
      </c>
      <c r="F35" s="64">
        <v>358</v>
      </c>
      <c r="G35" s="63">
        <v>347</v>
      </c>
      <c r="H35" s="1">
        <f>268+21</f>
        <v>289</v>
      </c>
      <c r="I35" s="1">
        <f>237+15</f>
        <v>252</v>
      </c>
      <c r="J35" s="1">
        <f>218+8</f>
        <v>226</v>
      </c>
      <c r="K35" s="1">
        <f>238+16</f>
        <v>254</v>
      </c>
      <c r="L35" s="1">
        <f>217+10</f>
        <v>227</v>
      </c>
      <c r="M35" s="1">
        <f>180+11</f>
        <v>191</v>
      </c>
      <c r="N35" s="1">
        <f>166+13</f>
        <v>179</v>
      </c>
      <c r="O35" s="1">
        <f>143+7</f>
        <v>150</v>
      </c>
      <c r="P35" s="1">
        <f>116+7</f>
        <v>123</v>
      </c>
      <c r="Q35" s="1">
        <v>122</v>
      </c>
      <c r="R35" s="1">
        <f>120+7</f>
        <v>127</v>
      </c>
      <c r="S35" s="1">
        <f>106+7</f>
        <v>113</v>
      </c>
      <c r="T35" s="1">
        <f>88+5</f>
        <v>93</v>
      </c>
      <c r="U35" s="1">
        <f>94+5</f>
        <v>99</v>
      </c>
      <c r="V35" s="1">
        <f>76+4</f>
        <v>80</v>
      </c>
      <c r="W35" s="1">
        <f>75+7</f>
        <v>82</v>
      </c>
      <c r="X35" s="1">
        <f>48+3</f>
        <v>51</v>
      </c>
      <c r="Y35" s="1">
        <f>68+3</f>
        <v>71</v>
      </c>
      <c r="Z35" s="1">
        <v>43</v>
      </c>
      <c r="AA35" s="1">
        <f>32+4</f>
        <v>36</v>
      </c>
      <c r="AB35" s="1">
        <f>23+2</f>
        <v>25</v>
      </c>
      <c r="AC35" s="1">
        <v>26</v>
      </c>
      <c r="AD35" s="1">
        <f>28+3</f>
        <v>31</v>
      </c>
      <c r="AE35" s="1">
        <f>19+1</f>
        <v>20</v>
      </c>
      <c r="AF35" s="1">
        <v>22</v>
      </c>
      <c r="AG35" s="1">
        <v>16</v>
      </c>
      <c r="AH35" s="1">
        <v>8</v>
      </c>
      <c r="AI35" s="1">
        <f>22+2</f>
        <v>24</v>
      </c>
      <c r="AJ35" s="1">
        <v>22</v>
      </c>
      <c r="AK35" s="1">
        <v>14</v>
      </c>
      <c r="AL35" s="1">
        <v>13</v>
      </c>
      <c r="AM35" s="1">
        <v>16</v>
      </c>
      <c r="AN35" s="1">
        <v>14</v>
      </c>
      <c r="AO35" s="1">
        <v>14</v>
      </c>
      <c r="AP35" s="2">
        <v>13</v>
      </c>
      <c r="AQ35" s="2">
        <v>12</v>
      </c>
      <c r="AR35" s="2">
        <v>19</v>
      </c>
      <c r="AS35" s="2">
        <v>8</v>
      </c>
      <c r="AT35" s="2">
        <v>25</v>
      </c>
      <c r="AU35" s="6">
        <v>17</v>
      </c>
      <c r="AV35" s="6">
        <v>13</v>
      </c>
      <c r="AW35" s="6">
        <v>17</v>
      </c>
      <c r="AX35" s="6">
        <v>15</v>
      </c>
      <c r="AY35" s="6">
        <v>11</v>
      </c>
      <c r="AZ35" s="6">
        <v>25</v>
      </c>
      <c r="BA35" s="3">
        <v>15</v>
      </c>
      <c r="BB35" s="6">
        <v>14</v>
      </c>
      <c r="BC35" s="8">
        <v>21</v>
      </c>
      <c r="BD35" s="7">
        <v>18</v>
      </c>
      <c r="BE35" s="7">
        <v>7</v>
      </c>
      <c r="BF35" s="7">
        <v>11</v>
      </c>
      <c r="BG35" s="7">
        <v>10</v>
      </c>
      <c r="BH35" s="7">
        <v>13</v>
      </c>
      <c r="BI35" s="4">
        <v>15</v>
      </c>
      <c r="BJ35" s="7">
        <v>14</v>
      </c>
      <c r="BK35" s="22">
        <v>12</v>
      </c>
      <c r="BL35" s="7">
        <v>9</v>
      </c>
      <c r="BM35" s="23">
        <v>10</v>
      </c>
      <c r="BN35" s="4">
        <v>9</v>
      </c>
      <c r="BO35" s="4">
        <v>16</v>
      </c>
      <c r="BP35" s="4">
        <v>10</v>
      </c>
      <c r="BQ35" s="67">
        <v>11</v>
      </c>
    </row>
    <row r="36" spans="1:69" s="7" customFormat="1" x14ac:dyDescent="0.15">
      <c r="A36" s="16" t="s">
        <v>58</v>
      </c>
      <c r="B36" s="63">
        <v>836</v>
      </c>
      <c r="C36" s="64">
        <v>822</v>
      </c>
      <c r="D36" s="64">
        <v>824</v>
      </c>
      <c r="E36" s="64">
        <v>700</v>
      </c>
      <c r="F36" s="64">
        <v>593</v>
      </c>
      <c r="G36" s="63">
        <v>602</v>
      </c>
      <c r="H36" s="1">
        <f>469+26</f>
        <v>495</v>
      </c>
      <c r="I36" s="1">
        <f>436+41</f>
        <v>477</v>
      </c>
      <c r="J36" s="1">
        <f>409+27</f>
        <v>436</v>
      </c>
      <c r="K36" s="1">
        <f>379+16</f>
        <v>395</v>
      </c>
      <c r="L36" s="1">
        <f>388+15</f>
        <v>403</v>
      </c>
      <c r="M36" s="1">
        <f>356+19</f>
        <v>375</v>
      </c>
      <c r="N36" s="1">
        <f>269+23</f>
        <v>292</v>
      </c>
      <c r="O36" s="1">
        <f>293+8</f>
        <v>301</v>
      </c>
      <c r="P36" s="1">
        <f>299+15</f>
        <v>314</v>
      </c>
      <c r="Q36" s="1">
        <f>288+15</f>
        <v>303</v>
      </c>
      <c r="R36" s="1">
        <f>240+15</f>
        <v>255</v>
      </c>
      <c r="S36" s="1">
        <f>224+7</f>
        <v>231</v>
      </c>
      <c r="T36" s="1">
        <f>206+11</f>
        <v>217</v>
      </c>
      <c r="U36" s="1">
        <f>208+8</f>
        <v>216</v>
      </c>
      <c r="V36" s="1">
        <f>177+4</f>
        <v>181</v>
      </c>
      <c r="W36" s="1">
        <f>165+5</f>
        <v>170</v>
      </c>
      <c r="X36" s="1">
        <f>164+8</f>
        <v>172</v>
      </c>
      <c r="Y36" s="1">
        <f>158+6</f>
        <v>164</v>
      </c>
      <c r="Z36" s="1">
        <f>140+1</f>
        <v>141</v>
      </c>
      <c r="AA36" s="1">
        <f>106+6</f>
        <v>112</v>
      </c>
      <c r="AB36" s="1">
        <v>103</v>
      </c>
      <c r="AC36" s="1">
        <f>81+6</f>
        <v>87</v>
      </c>
      <c r="AD36" s="1">
        <f>91+2</f>
        <v>93</v>
      </c>
      <c r="AE36" s="1">
        <f>81+5</f>
        <v>86</v>
      </c>
      <c r="AF36" s="1">
        <f>87+4</f>
        <v>91</v>
      </c>
      <c r="AG36" s="1">
        <f>64+4</f>
        <v>68</v>
      </c>
      <c r="AH36" s="1">
        <v>63</v>
      </c>
      <c r="AI36" s="1">
        <f>63+2</f>
        <v>65</v>
      </c>
      <c r="AJ36" s="1">
        <v>59</v>
      </c>
      <c r="AK36" s="1">
        <v>51</v>
      </c>
      <c r="AL36" s="1">
        <v>37</v>
      </c>
      <c r="AM36" s="1">
        <v>44</v>
      </c>
      <c r="AN36" s="1">
        <v>59</v>
      </c>
      <c r="AO36" s="1">
        <v>55</v>
      </c>
      <c r="AP36" s="2">
        <v>42</v>
      </c>
      <c r="AQ36" s="2">
        <v>59</v>
      </c>
      <c r="AR36" s="2">
        <v>31</v>
      </c>
      <c r="AS36" s="2">
        <v>37</v>
      </c>
      <c r="AT36" s="2">
        <v>28</v>
      </c>
      <c r="AU36" s="6">
        <v>35</v>
      </c>
      <c r="AV36" s="6">
        <v>32</v>
      </c>
      <c r="AW36" s="6">
        <v>21</v>
      </c>
      <c r="AX36" s="6">
        <v>23</v>
      </c>
      <c r="AY36" s="6">
        <v>32</v>
      </c>
      <c r="AZ36" s="6">
        <v>21</v>
      </c>
      <c r="BA36" s="3">
        <v>22</v>
      </c>
      <c r="BB36" s="6">
        <v>20</v>
      </c>
      <c r="BC36" s="8">
        <v>24</v>
      </c>
      <c r="BD36" s="7">
        <v>21</v>
      </c>
      <c r="BE36" s="7">
        <v>25</v>
      </c>
      <c r="BF36" s="7">
        <v>22</v>
      </c>
      <c r="BG36" s="7">
        <v>20</v>
      </c>
      <c r="BH36" s="7">
        <v>19</v>
      </c>
      <c r="BI36" s="4">
        <v>31</v>
      </c>
      <c r="BJ36" s="7">
        <v>21</v>
      </c>
      <c r="BK36" s="22">
        <v>29</v>
      </c>
      <c r="BL36" s="7">
        <v>36</v>
      </c>
      <c r="BM36" s="23">
        <v>30</v>
      </c>
      <c r="BN36" s="4">
        <v>23</v>
      </c>
      <c r="BO36" s="4">
        <v>18</v>
      </c>
      <c r="BP36" s="4">
        <v>23</v>
      </c>
      <c r="BQ36" s="67">
        <v>32</v>
      </c>
    </row>
    <row r="37" spans="1:69" s="7" customFormat="1" x14ac:dyDescent="0.15">
      <c r="A37" s="16" t="s">
        <v>59</v>
      </c>
      <c r="B37" s="63">
        <v>1207</v>
      </c>
      <c r="C37" s="64">
        <v>1082</v>
      </c>
      <c r="D37" s="64">
        <v>1071</v>
      </c>
      <c r="E37" s="64">
        <v>927</v>
      </c>
      <c r="F37" s="64">
        <v>809</v>
      </c>
      <c r="G37" s="63">
        <v>830</v>
      </c>
      <c r="H37" s="1">
        <f>684+50</f>
        <v>734</v>
      </c>
      <c r="I37" s="1">
        <f>609+41</f>
        <v>650</v>
      </c>
      <c r="J37" s="1">
        <f>533+30</f>
        <v>563</v>
      </c>
      <c r="K37" s="1">
        <f>511+31</f>
        <v>542</v>
      </c>
      <c r="L37" s="1">
        <f>483+32</f>
        <v>515</v>
      </c>
      <c r="M37" s="1">
        <f>446+30</f>
        <v>476</v>
      </c>
      <c r="N37" s="1">
        <f>437+26</f>
        <v>463</v>
      </c>
      <c r="O37" s="1">
        <f>394+29</f>
        <v>423</v>
      </c>
      <c r="P37" s="1">
        <f>345+22</f>
        <v>367</v>
      </c>
      <c r="Q37" s="1">
        <f>359+15</f>
        <v>374</v>
      </c>
      <c r="R37" s="1">
        <f>320+28</f>
        <v>348</v>
      </c>
      <c r="S37" s="1">
        <f>271+17</f>
        <v>288</v>
      </c>
      <c r="T37" s="1">
        <f>259+8</f>
        <v>267</v>
      </c>
      <c r="U37" s="1">
        <f>203+12</f>
        <v>215</v>
      </c>
      <c r="V37" s="1">
        <f>208+17</f>
        <v>225</v>
      </c>
      <c r="W37" s="1">
        <f>184+3</f>
        <v>187</v>
      </c>
      <c r="X37" s="1">
        <f>167+11</f>
        <v>178</v>
      </c>
      <c r="Y37" s="1">
        <f>176+12</f>
        <v>188</v>
      </c>
      <c r="Z37" s="1">
        <f>147+11</f>
        <v>158</v>
      </c>
      <c r="AA37" s="1">
        <f>124+8</f>
        <v>132</v>
      </c>
      <c r="AB37" s="1">
        <f>117+1</f>
        <v>118</v>
      </c>
      <c r="AC37" s="1">
        <f>111+4</f>
        <v>115</v>
      </c>
      <c r="AD37" s="1">
        <f>103+6</f>
        <v>109</v>
      </c>
      <c r="AE37" s="1">
        <f>104+6</f>
        <v>110</v>
      </c>
      <c r="AF37" s="1">
        <f>107+6</f>
        <v>113</v>
      </c>
      <c r="AG37" s="1">
        <f>79+2</f>
        <v>81</v>
      </c>
      <c r="AH37" s="1">
        <v>85</v>
      </c>
      <c r="AI37" s="1">
        <f>92+3</f>
        <v>95</v>
      </c>
      <c r="AJ37" s="1">
        <v>79</v>
      </c>
      <c r="AK37" s="1">
        <v>64</v>
      </c>
      <c r="AL37" s="1">
        <v>73</v>
      </c>
      <c r="AM37" s="1">
        <v>52</v>
      </c>
      <c r="AN37" s="1">
        <v>49</v>
      </c>
      <c r="AO37" s="1">
        <v>65</v>
      </c>
      <c r="AP37" s="2">
        <v>52</v>
      </c>
      <c r="AQ37" s="2">
        <v>54</v>
      </c>
      <c r="AR37" s="2">
        <v>49</v>
      </c>
      <c r="AS37" s="2">
        <v>57</v>
      </c>
      <c r="AT37" s="2">
        <v>60</v>
      </c>
      <c r="AU37" s="6">
        <v>57</v>
      </c>
      <c r="AV37" s="6">
        <v>44</v>
      </c>
      <c r="AW37" s="6">
        <v>44</v>
      </c>
      <c r="AX37" s="6">
        <v>46</v>
      </c>
      <c r="AY37" s="6">
        <v>47</v>
      </c>
      <c r="AZ37" s="6">
        <v>68</v>
      </c>
      <c r="BA37" s="1">
        <v>60</v>
      </c>
      <c r="BB37" s="6">
        <v>60</v>
      </c>
      <c r="BC37" s="8">
        <v>54</v>
      </c>
      <c r="BD37" s="7">
        <v>60</v>
      </c>
      <c r="BE37" s="7">
        <v>64</v>
      </c>
      <c r="BF37" s="7">
        <v>52</v>
      </c>
      <c r="BG37" s="7">
        <v>48</v>
      </c>
      <c r="BH37" s="7">
        <v>49</v>
      </c>
      <c r="BI37" s="4">
        <v>46</v>
      </c>
      <c r="BJ37" s="7">
        <v>43</v>
      </c>
      <c r="BK37" s="22">
        <v>28</v>
      </c>
      <c r="BL37" s="7">
        <v>46</v>
      </c>
      <c r="BM37" s="23">
        <v>55</v>
      </c>
      <c r="BN37" s="4">
        <v>38</v>
      </c>
      <c r="BO37" s="4">
        <v>48</v>
      </c>
      <c r="BP37" s="4">
        <v>34</v>
      </c>
      <c r="BQ37" s="67">
        <v>35</v>
      </c>
    </row>
    <row r="38" spans="1:69" s="7" customFormat="1" x14ac:dyDescent="0.15">
      <c r="A38" s="16" t="s">
        <v>60</v>
      </c>
      <c r="B38" s="63">
        <v>1035</v>
      </c>
      <c r="C38" s="64">
        <v>994</v>
      </c>
      <c r="D38" s="64">
        <v>959</v>
      </c>
      <c r="E38" s="64">
        <v>869</v>
      </c>
      <c r="F38" s="64">
        <v>734</v>
      </c>
      <c r="G38" s="63">
        <v>679</v>
      </c>
      <c r="H38" s="1">
        <f>533+35</f>
        <v>568</v>
      </c>
      <c r="I38" s="1">
        <f>566+28</f>
        <v>594</v>
      </c>
      <c r="J38" s="1">
        <f>497+31</f>
        <v>528</v>
      </c>
      <c r="K38" s="1">
        <f>415+21</f>
        <v>436</v>
      </c>
      <c r="L38" s="1">
        <f>451+29</f>
        <v>480</v>
      </c>
      <c r="M38" s="1">
        <f>385+18</f>
        <v>403</v>
      </c>
      <c r="N38" s="1">
        <f>314+10</f>
        <v>324</v>
      </c>
      <c r="O38" s="1">
        <f>330+10</f>
        <v>340</v>
      </c>
      <c r="P38" s="1">
        <f>316+11</f>
        <v>327</v>
      </c>
      <c r="Q38" s="1">
        <f>283+14</f>
        <v>297</v>
      </c>
      <c r="R38" s="1">
        <f>293+12</f>
        <v>305</v>
      </c>
      <c r="S38" s="1">
        <f>232+7</f>
        <v>239</v>
      </c>
      <c r="T38" s="1">
        <f>208+11</f>
        <v>219</v>
      </c>
      <c r="U38" s="1">
        <f>216+10</f>
        <v>226</v>
      </c>
      <c r="V38" s="1">
        <f>193+4</f>
        <v>197</v>
      </c>
      <c r="W38" s="1">
        <f>173+5</f>
        <v>178</v>
      </c>
      <c r="X38" s="1">
        <f>183+4</f>
        <v>187</v>
      </c>
      <c r="Y38" s="1">
        <f>153+3</f>
        <v>156</v>
      </c>
      <c r="Z38" s="1">
        <f>113+6</f>
        <v>119</v>
      </c>
      <c r="AA38" s="1">
        <v>103</v>
      </c>
      <c r="AB38" s="1">
        <f>92+2</f>
        <v>94</v>
      </c>
      <c r="AC38" s="1">
        <f>78+3</f>
        <v>81</v>
      </c>
      <c r="AD38" s="1">
        <f>94+1</f>
        <v>95</v>
      </c>
      <c r="AE38" s="1">
        <f>75+3</f>
        <v>78</v>
      </c>
      <c r="AF38" s="1">
        <f>71+2</f>
        <v>73</v>
      </c>
      <c r="AG38" s="1">
        <f>75+2</f>
        <v>77</v>
      </c>
      <c r="AH38" s="1">
        <v>48</v>
      </c>
      <c r="AI38" s="1">
        <f>45+5</f>
        <v>50</v>
      </c>
      <c r="AJ38" s="1">
        <v>54</v>
      </c>
      <c r="AK38" s="1">
        <v>65</v>
      </c>
      <c r="AL38" s="1">
        <v>71</v>
      </c>
      <c r="AM38" s="1">
        <v>55</v>
      </c>
      <c r="AN38" s="1">
        <v>56</v>
      </c>
      <c r="AO38" s="1">
        <v>55</v>
      </c>
      <c r="AP38" s="2">
        <v>52</v>
      </c>
      <c r="AQ38" s="2">
        <v>37</v>
      </c>
      <c r="AR38" s="2">
        <v>45</v>
      </c>
      <c r="AS38" s="2">
        <v>47</v>
      </c>
      <c r="AT38" s="2">
        <v>27</v>
      </c>
      <c r="AU38" s="6">
        <v>28</v>
      </c>
      <c r="AV38" s="6">
        <v>28</v>
      </c>
      <c r="AW38" s="6">
        <v>39</v>
      </c>
      <c r="AX38" s="6">
        <v>29</v>
      </c>
      <c r="AY38" s="6">
        <v>46</v>
      </c>
      <c r="AZ38" s="6">
        <v>28</v>
      </c>
      <c r="BA38" s="3">
        <v>30</v>
      </c>
      <c r="BB38" s="6">
        <v>39</v>
      </c>
      <c r="BC38" s="8">
        <v>29</v>
      </c>
      <c r="BD38" s="7">
        <v>36</v>
      </c>
      <c r="BE38" s="7">
        <v>37</v>
      </c>
      <c r="BF38" s="7">
        <v>21</v>
      </c>
      <c r="BG38" s="7">
        <v>32</v>
      </c>
      <c r="BH38" s="7">
        <v>31</v>
      </c>
      <c r="BI38" s="4">
        <v>20</v>
      </c>
      <c r="BJ38" s="7">
        <v>21</v>
      </c>
      <c r="BK38" s="22">
        <v>32</v>
      </c>
      <c r="BL38" s="7">
        <v>31</v>
      </c>
      <c r="BM38" s="23">
        <v>34</v>
      </c>
      <c r="BN38" s="4">
        <v>32</v>
      </c>
      <c r="BO38" s="4">
        <v>24</v>
      </c>
      <c r="BP38" s="4">
        <v>22</v>
      </c>
      <c r="BQ38" s="67">
        <v>28</v>
      </c>
    </row>
    <row r="39" spans="1:69" s="7" customFormat="1" x14ac:dyDescent="0.15">
      <c r="A39" s="16" t="s">
        <v>61</v>
      </c>
      <c r="B39" s="63">
        <v>553</v>
      </c>
      <c r="C39" s="64">
        <v>480</v>
      </c>
      <c r="D39" s="64">
        <v>488</v>
      </c>
      <c r="E39" s="64">
        <v>411</v>
      </c>
      <c r="F39" s="64">
        <v>344</v>
      </c>
      <c r="G39" s="63">
        <v>342</v>
      </c>
      <c r="H39" s="1">
        <f>247+20</f>
        <v>267</v>
      </c>
      <c r="I39" s="1">
        <f>288+21</f>
        <v>309</v>
      </c>
      <c r="J39" s="1">
        <f>236+18</f>
        <v>254</v>
      </c>
      <c r="K39" s="1">
        <f>225+10</f>
        <v>235</v>
      </c>
      <c r="L39" s="1">
        <f>254+14</f>
        <v>268</v>
      </c>
      <c r="M39" s="1">
        <f>206+9</f>
        <v>215</v>
      </c>
      <c r="N39" s="1">
        <f>201+9</f>
        <v>210</v>
      </c>
      <c r="O39" s="1">
        <f>185+7</f>
        <v>192</v>
      </c>
      <c r="P39" s="1">
        <f>163+9</f>
        <v>172</v>
      </c>
      <c r="Q39" s="1">
        <f>160+8</f>
        <v>168</v>
      </c>
      <c r="R39" s="1">
        <f>141+3</f>
        <v>144</v>
      </c>
      <c r="S39" s="1">
        <f>131+3</f>
        <v>134</v>
      </c>
      <c r="T39" s="6">
        <f>125+7</f>
        <v>132</v>
      </c>
      <c r="U39" s="1">
        <f>117+2</f>
        <v>119</v>
      </c>
      <c r="V39" s="1">
        <f>104+5</f>
        <v>109</v>
      </c>
      <c r="W39" s="1">
        <f>107+1</f>
        <v>108</v>
      </c>
      <c r="X39" s="1">
        <f>96+3</f>
        <v>99</v>
      </c>
      <c r="Y39" s="1">
        <f>80+3</f>
        <v>83</v>
      </c>
      <c r="Z39" s="1">
        <f>87+1</f>
        <v>88</v>
      </c>
      <c r="AA39" s="1">
        <f>82+1</f>
        <v>83</v>
      </c>
      <c r="AB39" s="1">
        <f>51+3</f>
        <v>54</v>
      </c>
      <c r="AC39" s="1">
        <f>50+2</f>
        <v>52</v>
      </c>
      <c r="AD39" s="1">
        <v>59</v>
      </c>
      <c r="AE39" s="1">
        <f>60+1</f>
        <v>61</v>
      </c>
      <c r="AF39" s="1">
        <f>49+2</f>
        <v>51</v>
      </c>
      <c r="AG39" s="1">
        <v>41</v>
      </c>
      <c r="AH39" s="1">
        <f>47+4</f>
        <v>51</v>
      </c>
      <c r="AI39" s="1">
        <f>47+1</f>
        <v>48</v>
      </c>
      <c r="AJ39" s="1">
        <v>39</v>
      </c>
      <c r="AK39" s="1">
        <v>38</v>
      </c>
      <c r="AL39" s="1">
        <v>24</v>
      </c>
      <c r="AM39" s="1">
        <v>34</v>
      </c>
      <c r="AN39" s="1">
        <v>32</v>
      </c>
      <c r="AO39" s="1">
        <v>35</v>
      </c>
      <c r="AP39" s="2">
        <v>26</v>
      </c>
      <c r="AQ39" s="2">
        <v>21</v>
      </c>
      <c r="AR39" s="2">
        <v>30</v>
      </c>
      <c r="AS39" s="2">
        <v>22</v>
      </c>
      <c r="AT39" s="2">
        <v>21</v>
      </c>
      <c r="AU39" s="6">
        <v>28</v>
      </c>
      <c r="AV39" s="6">
        <v>20</v>
      </c>
      <c r="AW39" s="6">
        <v>23</v>
      </c>
      <c r="AX39" s="6">
        <v>17</v>
      </c>
      <c r="AY39" s="6">
        <v>29</v>
      </c>
      <c r="AZ39" s="6">
        <v>21</v>
      </c>
      <c r="BA39" s="1">
        <v>17</v>
      </c>
      <c r="BB39" s="6">
        <v>16</v>
      </c>
      <c r="BC39" s="8">
        <v>19</v>
      </c>
      <c r="BD39" s="7">
        <v>17</v>
      </c>
      <c r="BE39" s="7">
        <v>8</v>
      </c>
      <c r="BF39" s="7">
        <v>24</v>
      </c>
      <c r="BG39" s="7">
        <v>13</v>
      </c>
      <c r="BH39" s="7">
        <v>13</v>
      </c>
      <c r="BI39" s="4">
        <v>16</v>
      </c>
      <c r="BJ39" s="7">
        <v>10</v>
      </c>
      <c r="BK39" s="22">
        <v>13</v>
      </c>
      <c r="BL39" s="7">
        <v>24</v>
      </c>
      <c r="BM39" s="23">
        <v>23</v>
      </c>
      <c r="BN39" s="4">
        <v>27</v>
      </c>
      <c r="BO39" s="4">
        <v>19</v>
      </c>
      <c r="BP39" s="4">
        <v>34</v>
      </c>
      <c r="BQ39" s="67">
        <v>15</v>
      </c>
    </row>
    <row r="40" spans="1:69" s="7" customFormat="1" x14ac:dyDescent="0.15">
      <c r="A40" s="16" t="s">
        <v>62</v>
      </c>
      <c r="B40" s="63">
        <v>467</v>
      </c>
      <c r="C40" s="64">
        <v>437</v>
      </c>
      <c r="D40" s="64">
        <v>457</v>
      </c>
      <c r="E40" s="64">
        <v>379</v>
      </c>
      <c r="F40" s="64">
        <v>371</v>
      </c>
      <c r="G40" s="63">
        <v>336</v>
      </c>
      <c r="H40" s="1">
        <f>234+26</f>
        <v>260</v>
      </c>
      <c r="I40" s="1">
        <f>272+23</f>
        <v>295</v>
      </c>
      <c r="J40" s="1">
        <f>235+16</f>
        <v>251</v>
      </c>
      <c r="K40" s="1">
        <f>237+14</f>
        <v>251</v>
      </c>
      <c r="L40" s="1">
        <f>193+14</f>
        <v>207</v>
      </c>
      <c r="M40" s="1">
        <f>233+13</f>
        <v>246</v>
      </c>
      <c r="N40" s="1">
        <f>168+8</f>
        <v>176</v>
      </c>
      <c r="O40" s="1">
        <f>168+3</f>
        <v>171</v>
      </c>
      <c r="P40" s="1">
        <f>188+9</f>
        <v>197</v>
      </c>
      <c r="Q40" s="1">
        <f>193+4</f>
        <v>197</v>
      </c>
      <c r="R40" s="1">
        <f>129+2</f>
        <v>131</v>
      </c>
      <c r="S40" s="1">
        <f>120+5</f>
        <v>125</v>
      </c>
      <c r="T40" s="1">
        <f>117+5</f>
        <v>122</v>
      </c>
      <c r="U40" s="1">
        <f>121+11</f>
        <v>132</v>
      </c>
      <c r="V40" s="1">
        <f>103+5</f>
        <v>108</v>
      </c>
      <c r="W40" s="1">
        <f>108+8</f>
        <v>116</v>
      </c>
      <c r="X40" s="1">
        <f>77+4</f>
        <v>81</v>
      </c>
      <c r="Y40" s="1">
        <f>90+3</f>
        <v>93</v>
      </c>
      <c r="Z40" s="1">
        <f>60+3</f>
        <v>63</v>
      </c>
      <c r="AA40" s="1">
        <f>63+2</f>
        <v>65</v>
      </c>
      <c r="AB40" s="1">
        <f>65+3</f>
        <v>68</v>
      </c>
      <c r="AC40" s="1">
        <f>39+1</f>
        <v>40</v>
      </c>
      <c r="AD40" s="1">
        <f>45+3</f>
        <v>48</v>
      </c>
      <c r="AE40" s="1">
        <f>48+3</f>
        <v>51</v>
      </c>
      <c r="AF40" s="1">
        <f>31+1</f>
        <v>32</v>
      </c>
      <c r="AG40" s="1">
        <f>32+1</f>
        <v>33</v>
      </c>
      <c r="AH40" s="1">
        <f>29+2</f>
        <v>31</v>
      </c>
      <c r="AI40" s="1">
        <f>46+2</f>
        <v>48</v>
      </c>
      <c r="AJ40" s="1">
        <v>36</v>
      </c>
      <c r="AK40" s="1">
        <v>39</v>
      </c>
      <c r="AL40" s="1">
        <v>37</v>
      </c>
      <c r="AM40" s="1">
        <v>29</v>
      </c>
      <c r="AN40" s="1">
        <v>36</v>
      </c>
      <c r="AO40" s="1">
        <v>25</v>
      </c>
      <c r="AP40" s="2">
        <v>19</v>
      </c>
      <c r="AQ40" s="2">
        <v>29</v>
      </c>
      <c r="AR40" s="2">
        <v>21</v>
      </c>
      <c r="AS40" s="2">
        <v>17</v>
      </c>
      <c r="AT40" s="2">
        <v>22</v>
      </c>
      <c r="AU40" s="6">
        <v>25</v>
      </c>
      <c r="AV40" s="6">
        <v>12</v>
      </c>
      <c r="AW40" s="6">
        <v>11</v>
      </c>
      <c r="AX40" s="6">
        <v>19</v>
      </c>
      <c r="AY40" s="6">
        <v>12</v>
      </c>
      <c r="AZ40" s="6">
        <v>19</v>
      </c>
      <c r="BA40" s="3">
        <v>16</v>
      </c>
      <c r="BB40" s="6">
        <v>6</v>
      </c>
      <c r="BC40" s="8">
        <v>10</v>
      </c>
      <c r="BD40" s="7">
        <v>12</v>
      </c>
      <c r="BE40" s="7">
        <v>10</v>
      </c>
      <c r="BF40" s="7">
        <v>14</v>
      </c>
      <c r="BG40" s="7">
        <v>15</v>
      </c>
      <c r="BH40" s="7">
        <v>13</v>
      </c>
      <c r="BI40" s="4">
        <v>17</v>
      </c>
      <c r="BJ40" s="7">
        <v>7</v>
      </c>
      <c r="BK40" s="22">
        <v>11</v>
      </c>
      <c r="BL40" s="7">
        <v>17</v>
      </c>
      <c r="BM40" s="23">
        <v>22</v>
      </c>
      <c r="BN40" s="4">
        <v>14</v>
      </c>
      <c r="BO40" s="4">
        <v>12</v>
      </c>
      <c r="BP40" s="4">
        <v>15</v>
      </c>
      <c r="BQ40" s="67">
        <v>20</v>
      </c>
    </row>
    <row r="41" spans="1:69" s="7" customFormat="1" x14ac:dyDescent="0.15">
      <c r="A41" s="16" t="s">
        <v>63</v>
      </c>
      <c r="B41" s="63">
        <v>799</v>
      </c>
      <c r="C41" s="64">
        <v>708</v>
      </c>
      <c r="D41" s="64">
        <v>667</v>
      </c>
      <c r="E41" s="64">
        <v>574</v>
      </c>
      <c r="F41" s="64">
        <v>535</v>
      </c>
      <c r="G41" s="63">
        <v>524</v>
      </c>
      <c r="H41" s="1">
        <f>367+30</f>
        <v>397</v>
      </c>
      <c r="I41" s="1">
        <f>389+29</f>
        <v>418</v>
      </c>
      <c r="J41" s="1">
        <f>305+29</f>
        <v>334</v>
      </c>
      <c r="K41" s="1">
        <f>293+15</f>
        <v>308</v>
      </c>
      <c r="L41" s="1">
        <f>309+16</f>
        <v>325</v>
      </c>
      <c r="M41" s="1">
        <f>228+30</f>
        <v>258</v>
      </c>
      <c r="N41" s="1">
        <f>229+14</f>
        <v>243</v>
      </c>
      <c r="O41" s="1">
        <f>193+7</f>
        <v>200</v>
      </c>
      <c r="P41" s="1">
        <f>200+9</f>
        <v>209</v>
      </c>
      <c r="Q41" s="1">
        <f>209+8</f>
        <v>217</v>
      </c>
      <c r="R41" s="1">
        <f>182+7</f>
        <v>189</v>
      </c>
      <c r="S41" s="1">
        <f>153+6</f>
        <v>159</v>
      </c>
      <c r="T41" s="1">
        <f>149+7</f>
        <v>156</v>
      </c>
      <c r="U41" s="1">
        <f>135+4</f>
        <v>139</v>
      </c>
      <c r="V41" s="1">
        <f>148+7</f>
        <v>155</v>
      </c>
      <c r="W41" s="1">
        <f>129+7</f>
        <v>136</v>
      </c>
      <c r="X41" s="1">
        <f>118+5</f>
        <v>123</v>
      </c>
      <c r="Y41" s="1">
        <f>96+5</f>
        <v>101</v>
      </c>
      <c r="Z41" s="1">
        <f>84+2</f>
        <v>86</v>
      </c>
      <c r="AA41" s="1">
        <f>101+4</f>
        <v>105</v>
      </c>
      <c r="AB41" s="1">
        <f>68+1</f>
        <v>69</v>
      </c>
      <c r="AC41" s="1">
        <f>84+2</f>
        <v>86</v>
      </c>
      <c r="AD41" s="1">
        <f>69+5</f>
        <v>74</v>
      </c>
      <c r="AE41" s="1">
        <f>57+5</f>
        <v>62</v>
      </c>
      <c r="AF41" s="1">
        <f>70+3</f>
        <v>73</v>
      </c>
      <c r="AG41" s="1">
        <f>67+2</f>
        <v>69</v>
      </c>
      <c r="AH41" s="1">
        <v>63</v>
      </c>
      <c r="AI41" s="1">
        <v>54</v>
      </c>
      <c r="AJ41" s="1">
        <v>53</v>
      </c>
      <c r="AK41" s="1">
        <v>43</v>
      </c>
      <c r="AL41" s="1">
        <v>47</v>
      </c>
      <c r="AM41" s="1">
        <v>34</v>
      </c>
      <c r="AN41" s="1">
        <v>46</v>
      </c>
      <c r="AO41" s="1">
        <v>31</v>
      </c>
      <c r="AP41" s="2">
        <v>50</v>
      </c>
      <c r="AQ41" s="2">
        <v>41</v>
      </c>
      <c r="AR41" s="2">
        <v>26</v>
      </c>
      <c r="AS41" s="2">
        <v>26</v>
      </c>
      <c r="AT41" s="2">
        <v>29</v>
      </c>
      <c r="AU41" s="6">
        <v>21</v>
      </c>
      <c r="AV41" s="6">
        <v>27</v>
      </c>
      <c r="AW41" s="6">
        <v>26</v>
      </c>
      <c r="AX41" s="6">
        <v>14</v>
      </c>
      <c r="AY41" s="6">
        <v>24</v>
      </c>
      <c r="AZ41" s="6">
        <v>27</v>
      </c>
      <c r="BA41" s="3">
        <v>22</v>
      </c>
      <c r="BB41" s="6">
        <v>22</v>
      </c>
      <c r="BC41" s="8">
        <v>12</v>
      </c>
      <c r="BD41" s="7">
        <v>16</v>
      </c>
      <c r="BE41" s="7">
        <v>21</v>
      </c>
      <c r="BF41" s="7">
        <v>16</v>
      </c>
      <c r="BG41" s="7">
        <v>18</v>
      </c>
      <c r="BH41" s="7">
        <v>15</v>
      </c>
      <c r="BI41" s="4">
        <v>23</v>
      </c>
      <c r="BJ41" s="7">
        <v>21</v>
      </c>
      <c r="BK41" s="22">
        <v>21</v>
      </c>
      <c r="BL41" s="7">
        <v>18</v>
      </c>
      <c r="BM41" s="23">
        <v>20</v>
      </c>
      <c r="BN41" s="4">
        <v>21</v>
      </c>
      <c r="BO41" s="4">
        <v>18</v>
      </c>
      <c r="BP41" s="4">
        <v>18</v>
      </c>
      <c r="BQ41" s="67">
        <v>16</v>
      </c>
    </row>
    <row r="42" spans="1:69" s="7" customFormat="1" x14ac:dyDescent="0.15">
      <c r="A42" s="16" t="s">
        <v>64</v>
      </c>
      <c r="B42" s="63">
        <v>446</v>
      </c>
      <c r="C42" s="64">
        <v>445</v>
      </c>
      <c r="D42" s="64">
        <v>452</v>
      </c>
      <c r="E42" s="64">
        <v>365</v>
      </c>
      <c r="F42" s="64">
        <v>343</v>
      </c>
      <c r="G42" s="63">
        <v>332</v>
      </c>
      <c r="H42" s="1">
        <f>257+22</f>
        <v>279</v>
      </c>
      <c r="I42" s="1">
        <f>258+15</f>
        <v>273</v>
      </c>
      <c r="J42" s="1">
        <f>232+12</f>
        <v>244</v>
      </c>
      <c r="K42" s="1">
        <f>214+12</f>
        <v>226</v>
      </c>
      <c r="L42" s="1">
        <f>236+8</f>
        <v>244</v>
      </c>
      <c r="M42" s="1">
        <f>200+10</f>
        <v>210</v>
      </c>
      <c r="N42" s="1">
        <f>189+5</f>
        <v>194</v>
      </c>
      <c r="O42" s="1">
        <f>151+7</f>
        <v>158</v>
      </c>
      <c r="P42" s="1">
        <f>181+12</f>
        <v>193</v>
      </c>
      <c r="Q42" s="1">
        <f>175+7</f>
        <v>182</v>
      </c>
      <c r="R42" s="1">
        <f>131+5</f>
        <v>136</v>
      </c>
      <c r="S42" s="1">
        <f>119+4</f>
        <v>123</v>
      </c>
      <c r="T42" s="1">
        <f>102+4</f>
        <v>106</v>
      </c>
      <c r="U42" s="1">
        <f>95+3</f>
        <v>98</v>
      </c>
      <c r="V42" s="1">
        <f>103+3</f>
        <v>106</v>
      </c>
      <c r="W42" s="1">
        <f>93+4</f>
        <v>97</v>
      </c>
      <c r="X42" s="1">
        <f>87+1</f>
        <v>88</v>
      </c>
      <c r="Y42" s="1">
        <f>64+2</f>
        <v>66</v>
      </c>
      <c r="Z42" s="1">
        <f>62+1</f>
        <v>63</v>
      </c>
      <c r="AA42" s="1">
        <f>52+2</f>
        <v>54</v>
      </c>
      <c r="AB42" s="1">
        <v>70</v>
      </c>
      <c r="AC42" s="1">
        <f>42+1</f>
        <v>43</v>
      </c>
      <c r="AD42" s="1">
        <f>54+2</f>
        <v>56</v>
      </c>
      <c r="AE42" s="1">
        <f>41+3</f>
        <v>44</v>
      </c>
      <c r="AF42" s="1">
        <f>31+2</f>
        <v>33</v>
      </c>
      <c r="AG42" s="1">
        <f>32+1</f>
        <v>33</v>
      </c>
      <c r="AH42" s="1">
        <v>37</v>
      </c>
      <c r="AI42" s="1">
        <f>47+1</f>
        <v>48</v>
      </c>
      <c r="AJ42" s="1">
        <v>26</v>
      </c>
      <c r="AK42" s="1">
        <v>28</v>
      </c>
      <c r="AL42" s="1">
        <v>34</v>
      </c>
      <c r="AM42" s="1">
        <v>30</v>
      </c>
      <c r="AN42" s="1">
        <v>29</v>
      </c>
      <c r="AO42" s="1">
        <v>20</v>
      </c>
      <c r="AP42" s="2">
        <v>24</v>
      </c>
      <c r="AQ42" s="2">
        <v>25</v>
      </c>
      <c r="AR42" s="2">
        <v>14</v>
      </c>
      <c r="AS42" s="2">
        <v>14</v>
      </c>
      <c r="AT42" s="2">
        <v>22</v>
      </c>
      <c r="AU42" s="6">
        <v>21</v>
      </c>
      <c r="AV42" s="6">
        <v>16</v>
      </c>
      <c r="AW42" s="6">
        <v>10</v>
      </c>
      <c r="AX42" s="6">
        <v>8</v>
      </c>
      <c r="AY42" s="6">
        <v>13</v>
      </c>
      <c r="AZ42" s="6">
        <v>20</v>
      </c>
      <c r="BA42" s="3">
        <v>12</v>
      </c>
      <c r="BB42" s="6">
        <v>14</v>
      </c>
      <c r="BC42" s="8">
        <v>14</v>
      </c>
      <c r="BD42" s="7">
        <v>18</v>
      </c>
      <c r="BE42" s="7">
        <v>14</v>
      </c>
      <c r="BF42" s="7">
        <v>17</v>
      </c>
      <c r="BG42" s="7">
        <v>12</v>
      </c>
      <c r="BH42" s="7">
        <v>17</v>
      </c>
      <c r="BI42" s="4">
        <v>11</v>
      </c>
      <c r="BJ42" s="7">
        <v>12</v>
      </c>
      <c r="BK42" s="22">
        <v>20</v>
      </c>
      <c r="BL42" s="7">
        <v>8</v>
      </c>
      <c r="BM42" s="23">
        <v>11</v>
      </c>
      <c r="BN42" s="4">
        <v>6</v>
      </c>
      <c r="BO42" s="4">
        <v>10</v>
      </c>
      <c r="BP42" s="4">
        <v>6</v>
      </c>
      <c r="BQ42" s="67">
        <v>10</v>
      </c>
    </row>
    <row r="43" spans="1:69" s="7" customFormat="1" x14ac:dyDescent="0.15">
      <c r="A43" s="16" t="s">
        <v>65</v>
      </c>
      <c r="B43" s="63">
        <v>2453</v>
      </c>
      <c r="C43" s="64">
        <v>2339</v>
      </c>
      <c r="D43" s="64">
        <v>2281</v>
      </c>
      <c r="E43" s="64">
        <v>1795</v>
      </c>
      <c r="F43" s="64">
        <v>1671</v>
      </c>
      <c r="G43" s="63">
        <v>1665</v>
      </c>
      <c r="H43" s="1">
        <f>1372+109</f>
        <v>1481</v>
      </c>
      <c r="I43" s="1">
        <f>1350+94</f>
        <v>1444</v>
      </c>
      <c r="J43" s="1">
        <f>1069+59</f>
        <v>1128</v>
      </c>
      <c r="K43" s="1">
        <f>1077+69</f>
        <v>1146</v>
      </c>
      <c r="L43" s="1">
        <f>1097+52</f>
        <v>1149</v>
      </c>
      <c r="M43" s="1">
        <f>957+52</f>
        <v>1009</v>
      </c>
      <c r="N43" s="1">
        <f>830+38</f>
        <v>868</v>
      </c>
      <c r="O43" s="1">
        <f>885+39</f>
        <v>924</v>
      </c>
      <c r="P43" s="1">
        <f>805+30</f>
        <v>835</v>
      </c>
      <c r="Q43" s="1">
        <f>758+30</f>
        <v>788</v>
      </c>
      <c r="R43" s="1">
        <f>616+24</f>
        <v>640</v>
      </c>
      <c r="S43" s="1">
        <f>639+17</f>
        <v>656</v>
      </c>
      <c r="T43" s="1">
        <f>560+15</f>
        <v>575</v>
      </c>
      <c r="U43" s="1">
        <f>551+17</f>
        <v>568</v>
      </c>
      <c r="V43" s="3">
        <v>533</v>
      </c>
      <c r="W43" s="1">
        <v>500</v>
      </c>
      <c r="X43" s="1">
        <f>426+17</f>
        <v>443</v>
      </c>
      <c r="Y43" s="1">
        <f>376+14</f>
        <v>390</v>
      </c>
      <c r="Z43" s="1">
        <f>313+15</f>
        <v>328</v>
      </c>
      <c r="AA43" s="1">
        <f>333+13</f>
        <v>346</v>
      </c>
      <c r="AB43" s="1">
        <f>243+16</f>
        <v>259</v>
      </c>
      <c r="AC43" s="1">
        <f>266+7</f>
        <v>273</v>
      </c>
      <c r="AD43" s="1">
        <f>220+7</f>
        <v>227</v>
      </c>
      <c r="AE43" s="1">
        <f>234+9</f>
        <v>243</v>
      </c>
      <c r="AF43" s="1">
        <v>207</v>
      </c>
      <c r="AG43" s="1">
        <f>162+7</f>
        <v>169</v>
      </c>
      <c r="AH43" s="1">
        <v>176</v>
      </c>
      <c r="AI43" s="1">
        <f>167+13</f>
        <v>180</v>
      </c>
      <c r="AJ43" s="1">
        <v>154</v>
      </c>
      <c r="AK43" s="1">
        <v>165</v>
      </c>
      <c r="AL43" s="1">
        <v>137</v>
      </c>
      <c r="AM43" s="1">
        <v>126</v>
      </c>
      <c r="AN43" s="1">
        <v>145</v>
      </c>
      <c r="AO43" s="1">
        <v>125</v>
      </c>
      <c r="AP43" s="2">
        <v>112</v>
      </c>
      <c r="AQ43" s="2">
        <v>108</v>
      </c>
      <c r="AR43" s="2">
        <v>105</v>
      </c>
      <c r="AS43" s="2">
        <v>78</v>
      </c>
      <c r="AT43" s="2">
        <v>118</v>
      </c>
      <c r="AU43" s="6">
        <v>115</v>
      </c>
      <c r="AV43" s="6">
        <v>93</v>
      </c>
      <c r="AW43" s="6">
        <v>90</v>
      </c>
      <c r="AX43" s="6">
        <v>102</v>
      </c>
      <c r="AY43" s="6">
        <v>92</v>
      </c>
      <c r="AZ43" s="6">
        <v>86</v>
      </c>
      <c r="BA43" s="3">
        <v>79</v>
      </c>
      <c r="BB43" s="6">
        <v>76</v>
      </c>
      <c r="BC43" s="8">
        <v>101</v>
      </c>
      <c r="BD43" s="7">
        <v>91</v>
      </c>
      <c r="BE43" s="7">
        <v>87</v>
      </c>
      <c r="BF43" s="7">
        <v>76</v>
      </c>
      <c r="BG43" s="7">
        <v>75</v>
      </c>
      <c r="BH43" s="7">
        <v>67</v>
      </c>
      <c r="BI43" s="4">
        <v>79</v>
      </c>
      <c r="BJ43" s="7">
        <v>80</v>
      </c>
      <c r="BK43" s="22">
        <v>66</v>
      </c>
      <c r="BL43" s="7">
        <v>82</v>
      </c>
      <c r="BM43" s="23">
        <v>86</v>
      </c>
      <c r="BN43" s="4">
        <v>83</v>
      </c>
      <c r="BO43" s="4">
        <v>76</v>
      </c>
      <c r="BP43" s="4">
        <v>93</v>
      </c>
      <c r="BQ43" s="67">
        <v>60</v>
      </c>
    </row>
    <row r="44" spans="1:69" s="7" customFormat="1" x14ac:dyDescent="0.15">
      <c r="A44" s="16" t="s">
        <v>66</v>
      </c>
      <c r="B44" s="63">
        <v>594</v>
      </c>
      <c r="C44" s="64">
        <v>570</v>
      </c>
      <c r="D44" s="64">
        <v>555</v>
      </c>
      <c r="E44" s="64">
        <v>459</v>
      </c>
      <c r="F44" s="64">
        <v>431</v>
      </c>
      <c r="G44" s="63">
        <v>407</v>
      </c>
      <c r="H44" s="1">
        <f>305+34</f>
        <v>339</v>
      </c>
      <c r="I44" s="1">
        <f>337+20</f>
        <v>357</v>
      </c>
      <c r="J44" s="1">
        <f>290+22</f>
        <v>312</v>
      </c>
      <c r="K44" s="1">
        <f>275+16</f>
        <v>291</v>
      </c>
      <c r="L44" s="1">
        <f>252+12</f>
        <v>264</v>
      </c>
      <c r="M44" s="1">
        <f>231+7</f>
        <v>238</v>
      </c>
      <c r="N44" s="1">
        <f>222+9</f>
        <v>231</v>
      </c>
      <c r="O44" s="1">
        <f>215+7</f>
        <v>222</v>
      </c>
      <c r="P44" s="1">
        <f>166+2</f>
        <v>168</v>
      </c>
      <c r="Q44" s="1">
        <f>194+1</f>
        <v>195</v>
      </c>
      <c r="R44" s="1">
        <f>180+7</f>
        <v>187</v>
      </c>
      <c r="S44" s="1">
        <f>125+2</f>
        <v>127</v>
      </c>
      <c r="T44" s="1">
        <f>133+4</f>
        <v>137</v>
      </c>
      <c r="U44" s="1">
        <f>115+6</f>
        <v>121</v>
      </c>
      <c r="V44" s="1">
        <v>104</v>
      </c>
      <c r="W44" s="1">
        <f>102+3</f>
        <v>105</v>
      </c>
      <c r="X44" s="1">
        <f>85+5</f>
        <v>90</v>
      </c>
      <c r="Y44" s="1">
        <f>78+7</f>
        <v>85</v>
      </c>
      <c r="Z44" s="1">
        <f>62+1</f>
        <v>63</v>
      </c>
      <c r="AA44" s="1">
        <v>69</v>
      </c>
      <c r="AB44" s="1">
        <f>60+2</f>
        <v>62</v>
      </c>
      <c r="AC44" s="1">
        <f>55+1</f>
        <v>56</v>
      </c>
      <c r="AD44" s="1">
        <f>50+4</f>
        <v>54</v>
      </c>
      <c r="AE44" s="1">
        <f>58+6</f>
        <v>64</v>
      </c>
      <c r="AF44" s="1">
        <f>46+2</f>
        <v>48</v>
      </c>
      <c r="AG44" s="1">
        <v>34</v>
      </c>
      <c r="AH44" s="1">
        <v>41</v>
      </c>
      <c r="AI44" s="1">
        <v>19</v>
      </c>
      <c r="AJ44" s="1">
        <v>31</v>
      </c>
      <c r="AK44" s="1">
        <v>41</v>
      </c>
      <c r="AL44" s="1">
        <v>36</v>
      </c>
      <c r="AM44" s="1">
        <v>24</v>
      </c>
      <c r="AN44" s="1">
        <v>16</v>
      </c>
      <c r="AO44" s="1">
        <v>21</v>
      </c>
      <c r="AP44" s="2">
        <v>26</v>
      </c>
      <c r="AQ44" s="2">
        <v>25</v>
      </c>
      <c r="AR44" s="2">
        <v>13</v>
      </c>
      <c r="AS44" s="2">
        <v>24</v>
      </c>
      <c r="AT44" s="2">
        <v>18</v>
      </c>
      <c r="AU44" s="6">
        <v>15</v>
      </c>
      <c r="AV44" s="6">
        <v>22</v>
      </c>
      <c r="AW44" s="6">
        <v>11</v>
      </c>
      <c r="AX44" s="6">
        <v>20</v>
      </c>
      <c r="AY44" s="6">
        <v>21</v>
      </c>
      <c r="AZ44" s="6">
        <v>18</v>
      </c>
      <c r="BA44" s="3">
        <v>9</v>
      </c>
      <c r="BB44" s="6">
        <v>26</v>
      </c>
      <c r="BC44" s="8">
        <v>18</v>
      </c>
      <c r="BD44" s="7">
        <v>16</v>
      </c>
      <c r="BE44" s="7">
        <v>25</v>
      </c>
      <c r="BF44" s="7">
        <v>23</v>
      </c>
      <c r="BG44" s="7">
        <v>17</v>
      </c>
      <c r="BH44" s="7">
        <v>23</v>
      </c>
      <c r="BI44" s="4">
        <v>10</v>
      </c>
      <c r="BJ44" s="7">
        <v>23</v>
      </c>
      <c r="BK44" s="22">
        <v>22</v>
      </c>
      <c r="BL44" s="7">
        <v>23</v>
      </c>
      <c r="BM44" s="23">
        <v>12</v>
      </c>
      <c r="BN44" s="4">
        <v>21</v>
      </c>
      <c r="BO44" s="4">
        <v>14</v>
      </c>
      <c r="BP44" s="4">
        <v>13</v>
      </c>
      <c r="BQ44" s="67">
        <v>9</v>
      </c>
    </row>
    <row r="45" spans="1:69" s="7" customFormat="1" x14ac:dyDescent="0.15">
      <c r="A45" s="16" t="s">
        <v>67</v>
      </c>
      <c r="B45" s="63">
        <v>1257</v>
      </c>
      <c r="C45" s="64">
        <v>1250</v>
      </c>
      <c r="D45" s="64">
        <v>1192</v>
      </c>
      <c r="E45" s="64">
        <v>1060</v>
      </c>
      <c r="F45" s="64">
        <v>881</v>
      </c>
      <c r="G45" s="63">
        <v>869</v>
      </c>
      <c r="H45" s="1">
        <f>675+57</f>
        <v>732</v>
      </c>
      <c r="I45" s="1">
        <f>686+56</f>
        <v>742</v>
      </c>
      <c r="J45" s="1">
        <f>571+49</f>
        <v>620</v>
      </c>
      <c r="K45" s="1">
        <f>527+26</f>
        <v>553</v>
      </c>
      <c r="L45" s="1">
        <f>553+33</f>
        <v>586</v>
      </c>
      <c r="M45" s="1">
        <f>457+25</f>
        <v>482</v>
      </c>
      <c r="N45" s="1">
        <f>381+24</f>
        <v>405</v>
      </c>
      <c r="O45" s="1">
        <f>429+19</f>
        <v>448</v>
      </c>
      <c r="P45" s="1">
        <f>330+16</f>
        <v>346</v>
      </c>
      <c r="Q45" s="1">
        <f>344+16</f>
        <v>360</v>
      </c>
      <c r="R45" s="1">
        <f>284+17</f>
        <v>301</v>
      </c>
      <c r="S45" s="1">
        <f>279+6</f>
        <v>285</v>
      </c>
      <c r="T45" s="1">
        <f>260+8</f>
        <v>268</v>
      </c>
      <c r="U45" s="1">
        <f>250+8</f>
        <v>258</v>
      </c>
      <c r="V45" s="1">
        <v>232</v>
      </c>
      <c r="W45" s="1">
        <f>174+12</f>
        <v>186</v>
      </c>
      <c r="X45" s="1">
        <f>167+10</f>
        <v>177</v>
      </c>
      <c r="Y45" s="1">
        <f>154+7</f>
        <v>161</v>
      </c>
      <c r="Z45" s="1">
        <f>122+5</f>
        <v>127</v>
      </c>
      <c r="AA45" s="1">
        <f>111+1</f>
        <v>112</v>
      </c>
      <c r="AB45" s="1">
        <f>111+10</f>
        <v>121</v>
      </c>
      <c r="AC45" s="1">
        <f>71+9</f>
        <v>80</v>
      </c>
      <c r="AD45" s="1">
        <f>95+6</f>
        <v>101</v>
      </c>
      <c r="AE45" s="1">
        <f>88+9</f>
        <v>97</v>
      </c>
      <c r="AF45" s="1">
        <f>71+2</f>
        <v>73</v>
      </c>
      <c r="AG45" s="1">
        <f>75+3</f>
        <v>78</v>
      </c>
      <c r="AH45" s="1">
        <f>68+4</f>
        <v>72</v>
      </c>
      <c r="AI45" s="1">
        <f>55+5</f>
        <v>60</v>
      </c>
      <c r="AJ45" s="1">
        <v>49</v>
      </c>
      <c r="AK45" s="1">
        <v>65</v>
      </c>
      <c r="AL45" s="1">
        <v>46</v>
      </c>
      <c r="AM45" s="1">
        <v>48</v>
      </c>
      <c r="AN45" s="1">
        <v>65</v>
      </c>
      <c r="AO45" s="1">
        <v>47</v>
      </c>
      <c r="AP45" s="2">
        <v>38</v>
      </c>
      <c r="AQ45" s="2">
        <v>38</v>
      </c>
      <c r="AR45" s="2">
        <v>37</v>
      </c>
      <c r="AS45" s="2">
        <v>44</v>
      </c>
      <c r="AT45" s="2">
        <v>40</v>
      </c>
      <c r="AU45" s="6">
        <v>32</v>
      </c>
      <c r="AV45" s="6">
        <v>37</v>
      </c>
      <c r="AW45" s="6">
        <v>34</v>
      </c>
      <c r="AX45" s="6">
        <v>24</v>
      </c>
      <c r="AY45" s="6">
        <v>25</v>
      </c>
      <c r="AZ45" s="6">
        <v>25</v>
      </c>
      <c r="BA45" s="1">
        <v>25</v>
      </c>
      <c r="BB45" s="6">
        <v>29</v>
      </c>
      <c r="BC45" s="8">
        <v>34</v>
      </c>
      <c r="BD45" s="7">
        <v>26</v>
      </c>
      <c r="BE45" s="7">
        <v>40</v>
      </c>
      <c r="BF45" s="7">
        <v>27</v>
      </c>
      <c r="BG45" s="7">
        <v>29</v>
      </c>
      <c r="BH45" s="7">
        <v>32</v>
      </c>
      <c r="BI45" s="4">
        <v>23</v>
      </c>
      <c r="BJ45" s="7">
        <v>17</v>
      </c>
      <c r="BK45" s="22">
        <v>15</v>
      </c>
      <c r="BL45" s="7">
        <v>30</v>
      </c>
      <c r="BM45" s="23">
        <v>23</v>
      </c>
      <c r="BN45" s="4">
        <v>26</v>
      </c>
      <c r="BO45" s="4">
        <v>31</v>
      </c>
      <c r="BP45" s="4">
        <v>29</v>
      </c>
      <c r="BQ45" s="67">
        <v>21</v>
      </c>
    </row>
    <row r="46" spans="1:69" s="7" customFormat="1" x14ac:dyDescent="0.15">
      <c r="A46" s="16" t="s">
        <v>68</v>
      </c>
      <c r="B46" s="63">
        <v>1021</v>
      </c>
      <c r="C46" s="64">
        <v>1053</v>
      </c>
      <c r="D46" s="64">
        <v>1052</v>
      </c>
      <c r="E46" s="64">
        <v>922</v>
      </c>
      <c r="F46" s="64">
        <v>812</v>
      </c>
      <c r="G46" s="63">
        <v>806</v>
      </c>
      <c r="H46" s="1">
        <f>649+50</f>
        <v>699</v>
      </c>
      <c r="I46" s="1">
        <v>715</v>
      </c>
      <c r="J46" s="1">
        <f>568+50</f>
        <v>618</v>
      </c>
      <c r="K46" s="1">
        <f>599+28</f>
        <v>627</v>
      </c>
      <c r="L46" s="1">
        <f>551+21</f>
        <v>572</v>
      </c>
      <c r="M46" s="1">
        <f>503+26</f>
        <v>529</v>
      </c>
      <c r="N46" s="1">
        <f>411+20</f>
        <v>431</v>
      </c>
      <c r="O46" s="1">
        <f>444+20</f>
        <v>464</v>
      </c>
      <c r="P46" s="1">
        <f>419+11</f>
        <v>430</v>
      </c>
      <c r="Q46" s="1">
        <f>418+13</f>
        <v>431</v>
      </c>
      <c r="R46" s="1">
        <f>355+12</f>
        <v>367</v>
      </c>
      <c r="S46" s="1">
        <f>314+8</f>
        <v>322</v>
      </c>
      <c r="T46" s="1">
        <f>317+8</f>
        <v>325</v>
      </c>
      <c r="U46" s="1">
        <f>301+14</f>
        <v>315</v>
      </c>
      <c r="V46" s="1">
        <v>301</v>
      </c>
      <c r="W46" s="1">
        <f>258+9</f>
        <v>267</v>
      </c>
      <c r="X46" s="1">
        <f>209+6</f>
        <v>215</v>
      </c>
      <c r="Y46" s="1">
        <f>183+7</f>
        <v>190</v>
      </c>
      <c r="Z46" s="1">
        <f>175+9</f>
        <v>184</v>
      </c>
      <c r="AA46" s="1">
        <f>138+5</f>
        <v>143</v>
      </c>
      <c r="AB46" s="1">
        <f>112+7</f>
        <v>119</v>
      </c>
      <c r="AC46" s="1">
        <f>133+4</f>
        <v>137</v>
      </c>
      <c r="AD46" s="1">
        <v>118</v>
      </c>
      <c r="AE46" s="1">
        <f>123+2</f>
        <v>125</v>
      </c>
      <c r="AF46" s="1">
        <f>101+3</f>
        <v>104</v>
      </c>
      <c r="AG46" s="1">
        <f>96+4</f>
        <v>100</v>
      </c>
      <c r="AH46" s="1">
        <f>66+4</f>
        <v>70</v>
      </c>
      <c r="AI46" s="1">
        <f>82+3</f>
        <v>85</v>
      </c>
      <c r="AJ46" s="1">
        <v>81</v>
      </c>
      <c r="AK46" s="1">
        <v>84</v>
      </c>
      <c r="AL46" s="1">
        <v>77</v>
      </c>
      <c r="AM46" s="1">
        <v>71</v>
      </c>
      <c r="AN46" s="1">
        <v>49</v>
      </c>
      <c r="AO46" s="1">
        <v>61</v>
      </c>
      <c r="AP46" s="2">
        <v>36</v>
      </c>
      <c r="AQ46" s="2">
        <v>29</v>
      </c>
      <c r="AR46" s="2">
        <v>38</v>
      </c>
      <c r="AS46" s="2">
        <v>37</v>
      </c>
      <c r="AT46" s="2">
        <v>34</v>
      </c>
      <c r="AU46" s="6">
        <v>36</v>
      </c>
      <c r="AV46" s="6">
        <v>35</v>
      </c>
      <c r="AW46" s="6">
        <v>38</v>
      </c>
      <c r="AX46" s="6">
        <v>35</v>
      </c>
      <c r="AY46" s="6">
        <v>43</v>
      </c>
      <c r="AZ46" s="6">
        <v>25</v>
      </c>
      <c r="BA46" s="3">
        <v>34</v>
      </c>
      <c r="BB46" s="6">
        <v>24</v>
      </c>
      <c r="BC46" s="8">
        <v>36</v>
      </c>
      <c r="BD46" s="7">
        <v>24</v>
      </c>
      <c r="BE46" s="7">
        <v>33</v>
      </c>
      <c r="BF46" s="7">
        <v>38</v>
      </c>
      <c r="BG46" s="7">
        <v>40</v>
      </c>
      <c r="BH46" s="7">
        <v>36</v>
      </c>
      <c r="BI46" s="4">
        <v>32</v>
      </c>
      <c r="BJ46" s="7">
        <v>48</v>
      </c>
      <c r="BK46" s="22">
        <v>36</v>
      </c>
      <c r="BL46" s="7">
        <v>45</v>
      </c>
      <c r="BM46" s="23">
        <v>37</v>
      </c>
      <c r="BN46" s="4">
        <v>30</v>
      </c>
      <c r="BO46" s="4">
        <v>34</v>
      </c>
      <c r="BP46" s="4">
        <v>24</v>
      </c>
      <c r="BQ46" s="67">
        <v>38</v>
      </c>
    </row>
    <row r="47" spans="1:69" s="7" customFormat="1" x14ac:dyDescent="0.15">
      <c r="A47" s="16" t="s">
        <v>69</v>
      </c>
      <c r="B47" s="63">
        <v>833</v>
      </c>
      <c r="C47" s="64">
        <v>836</v>
      </c>
      <c r="D47" s="64">
        <v>761</v>
      </c>
      <c r="E47" s="64">
        <v>656</v>
      </c>
      <c r="F47" s="64">
        <v>608</v>
      </c>
      <c r="G47" s="63">
        <v>602</v>
      </c>
      <c r="H47" s="1">
        <f>461+37</f>
        <v>498</v>
      </c>
      <c r="I47" s="1">
        <f>467+32</f>
        <v>499</v>
      </c>
      <c r="J47" s="1">
        <v>450</v>
      </c>
      <c r="K47" s="1">
        <f>397+33</f>
        <v>430</v>
      </c>
      <c r="L47" s="1">
        <f>434+18</f>
        <v>452</v>
      </c>
      <c r="M47" s="1">
        <f>358+18</f>
        <v>376</v>
      </c>
      <c r="N47" s="1">
        <f>325+9</f>
        <v>334</v>
      </c>
      <c r="O47" s="1">
        <f>318+16</f>
        <v>334</v>
      </c>
      <c r="P47" s="1">
        <f>282+15</f>
        <v>297</v>
      </c>
      <c r="Q47" s="1">
        <f>285+15</f>
        <v>300</v>
      </c>
      <c r="R47" s="1">
        <f>241+6</f>
        <v>247</v>
      </c>
      <c r="S47" s="1">
        <f>225+2</f>
        <v>227</v>
      </c>
      <c r="T47" s="1">
        <f>223+6</f>
        <v>229</v>
      </c>
      <c r="U47" s="3">
        <v>193</v>
      </c>
      <c r="V47" s="1">
        <f>212+7</f>
        <v>219</v>
      </c>
      <c r="W47" s="1">
        <f>178+4</f>
        <v>182</v>
      </c>
      <c r="X47" s="1">
        <f>175+5</f>
        <v>180</v>
      </c>
      <c r="Y47" s="1">
        <f>150+3</f>
        <v>153</v>
      </c>
      <c r="Z47" s="1">
        <f>141+5</f>
        <v>146</v>
      </c>
      <c r="AA47" s="1">
        <f>137+4</f>
        <v>141</v>
      </c>
      <c r="AB47" s="1">
        <f>100+2</f>
        <v>102</v>
      </c>
      <c r="AC47" s="1">
        <f>88+3</f>
        <v>91</v>
      </c>
      <c r="AD47" s="1">
        <f>94+4</f>
        <v>98</v>
      </c>
      <c r="AE47" s="1">
        <v>102</v>
      </c>
      <c r="AF47" s="1">
        <f>64+3</f>
        <v>67</v>
      </c>
      <c r="AG47" s="1">
        <v>58</v>
      </c>
      <c r="AH47" s="1">
        <f>55+2</f>
        <v>57</v>
      </c>
      <c r="AI47" s="1">
        <f>46+2</f>
        <v>48</v>
      </c>
      <c r="AJ47" s="1">
        <v>44</v>
      </c>
      <c r="AK47" s="1">
        <v>36</v>
      </c>
      <c r="AL47" s="1">
        <v>46</v>
      </c>
      <c r="AM47" s="1">
        <v>54</v>
      </c>
      <c r="AN47" s="1">
        <v>51</v>
      </c>
      <c r="AO47" s="1">
        <v>48</v>
      </c>
      <c r="AP47" s="2">
        <v>36</v>
      </c>
      <c r="AQ47" s="2">
        <v>34</v>
      </c>
      <c r="AR47" s="2">
        <v>38</v>
      </c>
      <c r="AS47" s="2">
        <v>20</v>
      </c>
      <c r="AT47" s="2">
        <v>34</v>
      </c>
      <c r="AU47" s="6">
        <v>43</v>
      </c>
      <c r="AV47" s="6">
        <v>22</v>
      </c>
      <c r="AW47" s="6">
        <v>25</v>
      </c>
      <c r="AX47" s="6">
        <v>21</v>
      </c>
      <c r="AY47" s="6">
        <v>27</v>
      </c>
      <c r="AZ47" s="6">
        <v>27</v>
      </c>
      <c r="BA47" s="3">
        <v>22</v>
      </c>
      <c r="BB47" s="6">
        <v>24</v>
      </c>
      <c r="BC47" s="8">
        <v>30</v>
      </c>
      <c r="BD47" s="7">
        <v>26</v>
      </c>
      <c r="BE47" s="7">
        <v>19</v>
      </c>
      <c r="BF47" s="7">
        <v>21</v>
      </c>
      <c r="BG47" s="14">
        <v>16</v>
      </c>
      <c r="BH47" s="7">
        <v>26</v>
      </c>
      <c r="BI47" s="4">
        <v>18</v>
      </c>
      <c r="BJ47" s="7">
        <v>21</v>
      </c>
      <c r="BK47" s="22">
        <v>16</v>
      </c>
      <c r="BL47" s="7">
        <v>22</v>
      </c>
      <c r="BM47" s="23">
        <v>27</v>
      </c>
      <c r="BN47" s="4">
        <v>20</v>
      </c>
      <c r="BO47" s="4">
        <v>18</v>
      </c>
      <c r="BP47" s="4">
        <v>13</v>
      </c>
      <c r="BQ47" s="67">
        <v>25</v>
      </c>
    </row>
    <row r="48" spans="1:69" s="7" customFormat="1" x14ac:dyDescent="0.15">
      <c r="A48" s="16" t="s">
        <v>70</v>
      </c>
      <c r="B48" s="63">
        <v>675</v>
      </c>
      <c r="C48" s="64">
        <v>578</v>
      </c>
      <c r="D48" s="64">
        <v>623</v>
      </c>
      <c r="E48" s="64">
        <v>465</v>
      </c>
      <c r="F48" s="64">
        <v>462</v>
      </c>
      <c r="G48" s="63">
        <v>469</v>
      </c>
      <c r="H48" s="1">
        <f>403+21</f>
        <v>424</v>
      </c>
      <c r="I48" s="1">
        <f>379+25</f>
        <v>404</v>
      </c>
      <c r="J48" s="1">
        <f>331+20</f>
        <v>351</v>
      </c>
      <c r="K48" s="1">
        <f>319+19</f>
        <v>338</v>
      </c>
      <c r="L48" s="1">
        <f>307+13</f>
        <v>320</v>
      </c>
      <c r="M48" s="1">
        <f>304+12</f>
        <v>316</v>
      </c>
      <c r="N48" s="1">
        <f>222+13</f>
        <v>235</v>
      </c>
      <c r="O48" s="1">
        <f>205+8</f>
        <v>213</v>
      </c>
      <c r="P48" s="1">
        <f>237+10</f>
        <v>247</v>
      </c>
      <c r="Q48" s="1">
        <f>218+7</f>
        <v>225</v>
      </c>
      <c r="R48" s="1">
        <f>207+10</f>
        <v>217</v>
      </c>
      <c r="S48" s="1">
        <f>153+4</f>
        <v>157</v>
      </c>
      <c r="T48" s="1">
        <f>154+5</f>
        <v>159</v>
      </c>
      <c r="U48" s="1">
        <f>136+10</f>
        <v>146</v>
      </c>
      <c r="V48" s="1">
        <f>168+8</f>
        <v>176</v>
      </c>
      <c r="W48" s="1">
        <f>138+5</f>
        <v>143</v>
      </c>
      <c r="X48" s="1">
        <f>131+8</f>
        <v>139</v>
      </c>
      <c r="Y48" s="1">
        <f>121+7</f>
        <v>128</v>
      </c>
      <c r="Z48" s="1">
        <f>95+3</f>
        <v>98</v>
      </c>
      <c r="AA48" s="1">
        <f>102+6</f>
        <v>108</v>
      </c>
      <c r="AB48" s="1">
        <v>96</v>
      </c>
      <c r="AC48" s="1">
        <f>67+4</f>
        <v>71</v>
      </c>
      <c r="AD48" s="1">
        <f>90+3</f>
        <v>93</v>
      </c>
      <c r="AE48" s="1">
        <f>58+1</f>
        <v>59</v>
      </c>
      <c r="AF48" s="1">
        <f>63+1</f>
        <v>64</v>
      </c>
      <c r="AG48" s="1">
        <f>52+1</f>
        <v>53</v>
      </c>
      <c r="AH48" s="1">
        <v>52</v>
      </c>
      <c r="AI48" s="1">
        <f>60+2</f>
        <v>62</v>
      </c>
      <c r="AJ48" s="1">
        <v>48</v>
      </c>
      <c r="AK48" s="1">
        <v>36</v>
      </c>
      <c r="AL48" s="1">
        <v>36</v>
      </c>
      <c r="AM48" s="1">
        <v>42</v>
      </c>
      <c r="AN48" s="1">
        <v>34</v>
      </c>
      <c r="AO48" s="1">
        <v>37</v>
      </c>
      <c r="AP48" s="2">
        <v>26</v>
      </c>
      <c r="AQ48" s="2">
        <v>30</v>
      </c>
      <c r="AR48" s="2">
        <v>24</v>
      </c>
      <c r="AS48" s="2">
        <v>23</v>
      </c>
      <c r="AT48" s="2">
        <v>31</v>
      </c>
      <c r="AU48" s="6">
        <v>30</v>
      </c>
      <c r="AV48" s="6">
        <v>13</v>
      </c>
      <c r="AW48" s="6">
        <v>15</v>
      </c>
      <c r="AX48" s="6">
        <v>14</v>
      </c>
      <c r="AY48" s="6">
        <v>10</v>
      </c>
      <c r="AZ48" s="6">
        <v>17</v>
      </c>
      <c r="BA48" s="3">
        <v>18</v>
      </c>
      <c r="BB48" s="6">
        <v>14</v>
      </c>
      <c r="BC48" s="6">
        <v>16</v>
      </c>
      <c r="BD48" s="7">
        <v>10</v>
      </c>
      <c r="BE48" s="7">
        <v>12</v>
      </c>
      <c r="BF48" s="7">
        <v>24</v>
      </c>
      <c r="BG48" s="14">
        <v>25</v>
      </c>
      <c r="BH48" s="7">
        <v>13</v>
      </c>
      <c r="BI48" s="4">
        <v>23</v>
      </c>
      <c r="BJ48" s="7">
        <v>27</v>
      </c>
      <c r="BK48" s="22">
        <v>15</v>
      </c>
      <c r="BL48" s="7">
        <v>23</v>
      </c>
      <c r="BM48" s="23">
        <v>15</v>
      </c>
      <c r="BN48" s="4">
        <v>17</v>
      </c>
      <c r="BO48" s="4">
        <v>26</v>
      </c>
      <c r="BP48" s="4">
        <v>13</v>
      </c>
      <c r="BQ48" s="67">
        <v>19</v>
      </c>
    </row>
    <row r="49" spans="1:69" s="7" customFormat="1" x14ac:dyDescent="0.15">
      <c r="A49" s="16" t="s">
        <v>71</v>
      </c>
      <c r="B49" s="63">
        <v>1211</v>
      </c>
      <c r="C49" s="64">
        <v>1179</v>
      </c>
      <c r="D49" s="64">
        <v>1147</v>
      </c>
      <c r="E49" s="64">
        <v>1054</v>
      </c>
      <c r="F49" s="64">
        <v>972</v>
      </c>
      <c r="G49" s="63">
        <v>894</v>
      </c>
      <c r="H49" s="1">
        <f>733+67</f>
        <v>800</v>
      </c>
      <c r="I49" s="1">
        <f>705+57</f>
        <v>762</v>
      </c>
      <c r="J49" s="1">
        <f>618+43</f>
        <v>661</v>
      </c>
      <c r="K49" s="1">
        <f>598+43</f>
        <v>641</v>
      </c>
      <c r="L49" s="1">
        <f>612+37</f>
        <v>649</v>
      </c>
      <c r="M49" s="1">
        <f>489+29</f>
        <v>518</v>
      </c>
      <c r="N49" s="1">
        <f>453+25</f>
        <v>478</v>
      </c>
      <c r="O49" s="1">
        <f>474+18</f>
        <v>492</v>
      </c>
      <c r="P49" s="1">
        <f>430+19</f>
        <v>449</v>
      </c>
      <c r="Q49" s="1">
        <f>446+18</f>
        <v>464</v>
      </c>
      <c r="R49" s="1">
        <f>381+13</f>
        <v>394</v>
      </c>
      <c r="S49" s="1">
        <f>347+15</f>
        <v>362</v>
      </c>
      <c r="T49" s="1">
        <f>331+17</f>
        <v>348</v>
      </c>
      <c r="U49" s="1">
        <f>264+7</f>
        <v>271</v>
      </c>
      <c r="V49" s="1">
        <f>257+8</f>
        <v>265</v>
      </c>
      <c r="W49" s="1">
        <f>263+8</f>
        <v>271</v>
      </c>
      <c r="X49" s="1">
        <f>222+8</f>
        <v>230</v>
      </c>
      <c r="Y49" s="1">
        <f>222+6</f>
        <v>228</v>
      </c>
      <c r="Z49" s="1">
        <f>163+5</f>
        <v>168</v>
      </c>
      <c r="AA49" s="1">
        <f>119+7</f>
        <v>126</v>
      </c>
      <c r="AB49" s="1">
        <f>113+4</f>
        <v>117</v>
      </c>
      <c r="AC49" s="1">
        <f>124+4</f>
        <v>128</v>
      </c>
      <c r="AD49" s="1">
        <f>119+4</f>
        <v>123</v>
      </c>
      <c r="AE49" s="1">
        <f>97+4</f>
        <v>101</v>
      </c>
      <c r="AF49" s="1">
        <f>86+4</f>
        <v>90</v>
      </c>
      <c r="AG49" s="1">
        <f>77+3</f>
        <v>80</v>
      </c>
      <c r="AH49" s="1">
        <f>65+2</f>
        <v>67</v>
      </c>
      <c r="AI49" s="1">
        <f>55+1</f>
        <v>56</v>
      </c>
      <c r="AJ49" s="1">
        <v>52</v>
      </c>
      <c r="AK49" s="1">
        <v>61</v>
      </c>
      <c r="AL49" s="1">
        <v>59</v>
      </c>
      <c r="AM49" s="1">
        <v>49</v>
      </c>
      <c r="AN49" s="1">
        <v>37</v>
      </c>
      <c r="AO49" s="1">
        <v>42</v>
      </c>
      <c r="AP49" s="2">
        <v>45</v>
      </c>
      <c r="AQ49" s="2">
        <v>40</v>
      </c>
      <c r="AR49" s="2">
        <v>45</v>
      </c>
      <c r="AS49" s="2">
        <v>36</v>
      </c>
      <c r="AT49" s="2">
        <v>49</v>
      </c>
      <c r="AU49" s="6">
        <v>31</v>
      </c>
      <c r="AV49" s="6">
        <v>25</v>
      </c>
      <c r="AW49" s="6">
        <v>25</v>
      </c>
      <c r="AX49" s="6">
        <v>32</v>
      </c>
      <c r="AY49" s="6">
        <v>35</v>
      </c>
      <c r="AZ49" s="6">
        <v>29</v>
      </c>
      <c r="BA49" s="1">
        <v>42</v>
      </c>
      <c r="BB49" s="6">
        <v>23</v>
      </c>
      <c r="BC49" s="6">
        <v>24</v>
      </c>
      <c r="BD49" s="7">
        <v>31</v>
      </c>
      <c r="BE49" s="7">
        <v>36</v>
      </c>
      <c r="BF49" s="7">
        <v>19</v>
      </c>
      <c r="BG49" s="14">
        <v>35</v>
      </c>
      <c r="BH49" s="7">
        <v>35</v>
      </c>
      <c r="BI49" s="4">
        <v>30</v>
      </c>
      <c r="BJ49" s="7">
        <v>32</v>
      </c>
      <c r="BK49" s="22">
        <v>33</v>
      </c>
      <c r="BL49" s="7">
        <v>34</v>
      </c>
      <c r="BM49" s="23">
        <v>33</v>
      </c>
      <c r="BN49" s="4">
        <v>42</v>
      </c>
      <c r="BO49" s="4">
        <v>28</v>
      </c>
      <c r="BP49" s="4">
        <v>26</v>
      </c>
      <c r="BQ49" s="67">
        <v>29</v>
      </c>
    </row>
    <row r="50" spans="1:69" s="7" customFormat="1" x14ac:dyDescent="0.15">
      <c r="A50" s="16" t="s">
        <v>72</v>
      </c>
      <c r="B50" s="60"/>
      <c r="C50" s="60"/>
      <c r="D50" s="60"/>
      <c r="E50" s="60"/>
      <c r="F50" s="60"/>
      <c r="G50" s="6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f>70+9</f>
        <v>79</v>
      </c>
      <c r="U50" s="1">
        <f>77+5</f>
        <v>82</v>
      </c>
      <c r="V50" s="1">
        <f>46+6</f>
        <v>52</v>
      </c>
      <c r="W50" s="1">
        <f>52+4</f>
        <v>56</v>
      </c>
      <c r="X50" s="1">
        <f>72+3</f>
        <v>75</v>
      </c>
      <c r="Y50" s="1">
        <f>48+5</f>
        <v>53</v>
      </c>
      <c r="Z50" s="1">
        <f>30+1</f>
        <v>31</v>
      </c>
      <c r="AA50" s="1">
        <f>34+5</f>
        <v>39</v>
      </c>
      <c r="AB50" s="1">
        <f>28+8</f>
        <v>36</v>
      </c>
      <c r="AC50" s="1">
        <f>32+2</f>
        <v>34</v>
      </c>
      <c r="AD50" s="1">
        <f>27+1</f>
        <v>28</v>
      </c>
      <c r="AE50" s="1">
        <f>22+2</f>
        <v>24</v>
      </c>
      <c r="AF50" s="1">
        <f>23+5</f>
        <v>28</v>
      </c>
      <c r="AG50" s="1">
        <f>24+1</f>
        <v>25</v>
      </c>
      <c r="AH50" s="1">
        <v>29</v>
      </c>
      <c r="AI50" s="1">
        <f>13+5</f>
        <v>18</v>
      </c>
      <c r="AJ50" s="1">
        <v>33</v>
      </c>
      <c r="AK50" s="1">
        <v>32</v>
      </c>
      <c r="AL50" s="1">
        <v>27</v>
      </c>
      <c r="AM50" s="1">
        <v>12</v>
      </c>
      <c r="AN50" s="1">
        <v>28</v>
      </c>
      <c r="AO50" s="1">
        <v>21</v>
      </c>
      <c r="AP50" s="2">
        <v>31</v>
      </c>
      <c r="AQ50" s="2">
        <v>17</v>
      </c>
      <c r="AR50" s="2">
        <v>18</v>
      </c>
      <c r="AS50" s="2">
        <v>20</v>
      </c>
      <c r="AT50" s="2">
        <v>22</v>
      </c>
      <c r="AU50" s="6">
        <v>23</v>
      </c>
      <c r="AV50" s="6">
        <v>26</v>
      </c>
      <c r="AW50" s="6">
        <v>13</v>
      </c>
      <c r="AX50" s="6">
        <v>23</v>
      </c>
      <c r="AY50" s="6">
        <v>17</v>
      </c>
      <c r="AZ50" s="6">
        <v>17</v>
      </c>
      <c r="BA50" s="3">
        <v>27</v>
      </c>
      <c r="BB50" s="6">
        <v>20</v>
      </c>
      <c r="BC50" s="6">
        <v>27</v>
      </c>
      <c r="BD50" s="7">
        <v>22</v>
      </c>
      <c r="BE50" s="7">
        <v>23</v>
      </c>
      <c r="BF50" s="7">
        <v>37</v>
      </c>
      <c r="BG50" s="14">
        <v>42</v>
      </c>
      <c r="BH50" s="7">
        <v>27</v>
      </c>
      <c r="BI50" s="4">
        <v>24</v>
      </c>
      <c r="BJ50" s="7">
        <v>23</v>
      </c>
      <c r="BK50" s="22">
        <v>14</v>
      </c>
      <c r="BL50" s="7">
        <v>30</v>
      </c>
      <c r="BM50" s="23">
        <v>25</v>
      </c>
      <c r="BN50" s="4">
        <v>22</v>
      </c>
      <c r="BO50" s="4">
        <v>21</v>
      </c>
      <c r="BP50" s="4">
        <v>25</v>
      </c>
      <c r="BQ50" s="67">
        <v>23</v>
      </c>
    </row>
    <row r="51" spans="1:69" s="7" customFormat="1" ht="8.25" customHeight="1" x14ac:dyDescent="0.15">
      <c r="A51" s="15"/>
      <c r="B51" s="59"/>
      <c r="C51" s="59"/>
      <c r="D51" s="59"/>
      <c r="E51" s="59"/>
      <c r="F51" s="59"/>
      <c r="G51" s="5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6"/>
      <c r="AV51" s="6"/>
      <c r="AW51" s="6"/>
      <c r="AX51" s="6"/>
      <c r="AY51" s="6"/>
      <c r="AZ51" s="6"/>
      <c r="BA51" s="1"/>
      <c r="BB51" s="6"/>
      <c r="BC51" s="6"/>
      <c r="BD51" s="17"/>
      <c r="BE51" s="17"/>
      <c r="BG51" s="14"/>
      <c r="BI51" s="4"/>
      <c r="BJ51" s="27"/>
      <c r="BK51" s="22"/>
      <c r="BQ51" s="19"/>
    </row>
    <row r="52" spans="1:69" s="21" customFormat="1" x14ac:dyDescent="0.15">
      <c r="A52" s="16" t="s">
        <v>25</v>
      </c>
      <c r="B52" s="60"/>
      <c r="C52" s="60"/>
      <c r="D52" s="60"/>
      <c r="E52" s="60"/>
      <c r="F52" s="60"/>
      <c r="G52" s="60"/>
      <c r="H52" s="32" t="s">
        <v>2</v>
      </c>
      <c r="I52" s="32" t="s">
        <v>2</v>
      </c>
      <c r="J52" s="32" t="s">
        <v>2</v>
      </c>
      <c r="K52" s="32" t="s">
        <v>2</v>
      </c>
      <c r="L52" s="32" t="s">
        <v>2</v>
      </c>
      <c r="M52" s="32" t="s">
        <v>2</v>
      </c>
      <c r="N52" s="32" t="s">
        <v>2</v>
      </c>
      <c r="O52" s="32" t="s">
        <v>2</v>
      </c>
      <c r="P52" s="32" t="s">
        <v>2</v>
      </c>
      <c r="Q52" s="32" t="s">
        <v>2</v>
      </c>
      <c r="R52" s="32" t="s">
        <v>2</v>
      </c>
      <c r="S52" s="32" t="s">
        <v>2</v>
      </c>
      <c r="T52" s="32" t="s">
        <v>2</v>
      </c>
      <c r="U52" s="32" t="s">
        <v>2</v>
      </c>
      <c r="V52" s="32" t="s">
        <v>2</v>
      </c>
      <c r="W52" s="32" t="s">
        <v>2</v>
      </c>
      <c r="X52" s="32" t="s">
        <v>2</v>
      </c>
      <c r="Y52" s="32" t="s">
        <v>2</v>
      </c>
      <c r="Z52" s="32" t="s">
        <v>2</v>
      </c>
      <c r="AA52" s="32" t="s">
        <v>2</v>
      </c>
      <c r="AB52" s="32" t="s">
        <v>2</v>
      </c>
      <c r="AC52" s="32" t="s">
        <v>2</v>
      </c>
      <c r="AD52" s="32" t="s">
        <v>2</v>
      </c>
      <c r="AE52" s="32" t="s">
        <v>2</v>
      </c>
      <c r="AF52" s="32" t="s">
        <v>2</v>
      </c>
      <c r="AG52" s="32" t="s">
        <v>2</v>
      </c>
      <c r="AH52" s="32" t="s">
        <v>2</v>
      </c>
      <c r="AI52" s="32" t="s">
        <v>2</v>
      </c>
      <c r="AJ52" s="32" t="s">
        <v>2</v>
      </c>
      <c r="AK52" s="32" t="s">
        <v>2</v>
      </c>
      <c r="AL52" s="32" t="s">
        <v>2</v>
      </c>
      <c r="AM52" s="32" t="s">
        <v>2</v>
      </c>
      <c r="AN52" s="32">
        <v>1</v>
      </c>
      <c r="AO52" s="32" t="s">
        <v>2</v>
      </c>
      <c r="AP52" s="33" t="s">
        <v>2</v>
      </c>
      <c r="AQ52" s="33" t="s">
        <v>2</v>
      </c>
      <c r="AR52" s="33" t="s">
        <v>2</v>
      </c>
      <c r="AS52" s="33">
        <v>1</v>
      </c>
      <c r="AT52" s="33" t="s">
        <v>2</v>
      </c>
      <c r="AU52" s="21">
        <v>1</v>
      </c>
      <c r="AV52" s="21" t="s">
        <v>2</v>
      </c>
      <c r="AW52" s="21">
        <v>1</v>
      </c>
      <c r="AX52" s="21" t="s">
        <v>1</v>
      </c>
      <c r="AY52" s="21" t="s">
        <v>2</v>
      </c>
      <c r="AZ52" s="21">
        <v>1</v>
      </c>
      <c r="BA52" s="34">
        <v>1</v>
      </c>
      <c r="BB52" s="21" t="s">
        <v>2</v>
      </c>
      <c r="BC52" s="21">
        <v>1</v>
      </c>
      <c r="BD52" s="21">
        <v>3</v>
      </c>
      <c r="BE52" s="21">
        <v>2</v>
      </c>
      <c r="BF52" s="21">
        <v>1</v>
      </c>
      <c r="BG52" s="35">
        <v>3</v>
      </c>
      <c r="BH52" s="21">
        <v>1</v>
      </c>
      <c r="BI52" s="23">
        <v>2</v>
      </c>
      <c r="BJ52" s="21">
        <v>2</v>
      </c>
      <c r="BK52" s="22">
        <v>1</v>
      </c>
      <c r="BL52" s="21">
        <v>1</v>
      </c>
      <c r="BM52" s="23">
        <v>1</v>
      </c>
      <c r="BN52" s="23">
        <v>2</v>
      </c>
      <c r="BO52" s="21" t="s">
        <v>75</v>
      </c>
      <c r="BP52" s="23" t="s">
        <v>80</v>
      </c>
      <c r="BQ52" s="68" t="s">
        <v>80</v>
      </c>
    </row>
    <row r="53" spans="1:69" s="7" customFormat="1" x14ac:dyDescent="0.15">
      <c r="A53" s="16" t="s">
        <v>26</v>
      </c>
      <c r="B53" s="62">
        <v>152</v>
      </c>
      <c r="C53" s="62">
        <v>165</v>
      </c>
      <c r="D53" s="62">
        <v>217</v>
      </c>
      <c r="E53" s="62">
        <v>186</v>
      </c>
      <c r="F53" s="62">
        <v>167</v>
      </c>
      <c r="G53" s="62">
        <v>181</v>
      </c>
      <c r="H53" s="1">
        <f>175+4</f>
        <v>179</v>
      </c>
      <c r="I53" s="1">
        <f>128+8</f>
        <v>136</v>
      </c>
      <c r="J53" s="1">
        <f>135+9</f>
        <v>144</v>
      </c>
      <c r="K53" s="1">
        <f>120+4</f>
        <v>124</v>
      </c>
      <c r="L53" s="1">
        <f>129+7</f>
        <v>136</v>
      </c>
      <c r="M53" s="1">
        <f>109+8</f>
        <v>117</v>
      </c>
      <c r="N53" s="1">
        <f>97+2</f>
        <v>99</v>
      </c>
      <c r="O53" s="1">
        <f>121+2</f>
        <v>123</v>
      </c>
      <c r="P53" s="1">
        <f>148+3</f>
        <v>151</v>
      </c>
      <c r="Q53" s="1">
        <f>154+3</f>
        <v>157</v>
      </c>
      <c r="R53" s="1">
        <v>121</v>
      </c>
      <c r="S53" s="1">
        <f>122+1</f>
        <v>123</v>
      </c>
      <c r="T53" s="1">
        <f>145+3</f>
        <v>148</v>
      </c>
      <c r="U53" s="1">
        <f>153+3</f>
        <v>156</v>
      </c>
      <c r="V53" s="1">
        <f>127+1</f>
        <v>128</v>
      </c>
      <c r="W53" s="1">
        <f>109+4</f>
        <v>113</v>
      </c>
      <c r="X53" s="1">
        <f>100+2</f>
        <v>102</v>
      </c>
      <c r="Y53" s="1">
        <f>97+2</f>
        <v>99</v>
      </c>
      <c r="Z53" s="1">
        <f>83+2</f>
        <v>85</v>
      </c>
      <c r="AA53" s="1">
        <f>70+4</f>
        <v>74</v>
      </c>
      <c r="AB53" s="1">
        <f>60+1</f>
        <v>61</v>
      </c>
      <c r="AC53" s="1">
        <f>46+5</f>
        <v>51</v>
      </c>
      <c r="AD53" s="1">
        <v>56</v>
      </c>
      <c r="AE53" s="1">
        <f>47+2</f>
        <v>49</v>
      </c>
      <c r="AF53" s="1">
        <f>53+2</f>
        <v>55</v>
      </c>
      <c r="AG53" s="1">
        <v>60</v>
      </c>
      <c r="AH53" s="1">
        <v>75</v>
      </c>
      <c r="AI53" s="1">
        <f>74+1</f>
        <v>75</v>
      </c>
      <c r="AJ53" s="1">
        <v>62</v>
      </c>
      <c r="AK53" s="1">
        <v>80</v>
      </c>
      <c r="AL53" s="1">
        <v>64</v>
      </c>
      <c r="AM53" s="1">
        <v>95</v>
      </c>
      <c r="AN53" s="1">
        <v>91</v>
      </c>
      <c r="AO53" s="1">
        <v>67</v>
      </c>
      <c r="AP53" s="2">
        <v>73</v>
      </c>
      <c r="AQ53" s="2">
        <v>83</v>
      </c>
      <c r="AR53" s="2">
        <v>65</v>
      </c>
      <c r="AS53" s="2">
        <v>72</v>
      </c>
      <c r="AT53" s="2">
        <v>82</v>
      </c>
      <c r="AU53" s="6">
        <v>95</v>
      </c>
      <c r="AV53" s="6">
        <v>63</v>
      </c>
      <c r="AW53" s="6">
        <v>40</v>
      </c>
      <c r="AX53" s="6">
        <v>49</v>
      </c>
      <c r="AY53" s="6">
        <v>36</v>
      </c>
      <c r="AZ53" s="6">
        <v>41</v>
      </c>
      <c r="BA53" s="1">
        <v>41</v>
      </c>
      <c r="BB53" s="6">
        <v>32</v>
      </c>
      <c r="BC53" s="6">
        <v>25</v>
      </c>
      <c r="BD53" s="7">
        <v>25</v>
      </c>
      <c r="BE53" s="7">
        <v>21</v>
      </c>
      <c r="BF53" s="7">
        <v>22</v>
      </c>
      <c r="BG53" s="14">
        <v>11</v>
      </c>
      <c r="BH53" s="7">
        <v>23</v>
      </c>
      <c r="BI53" s="4">
        <v>17</v>
      </c>
      <c r="BJ53" s="7">
        <v>16</v>
      </c>
      <c r="BK53" s="22">
        <v>9</v>
      </c>
      <c r="BL53" s="7">
        <v>11</v>
      </c>
      <c r="BM53" s="23">
        <v>14</v>
      </c>
      <c r="BN53" s="4">
        <v>10</v>
      </c>
      <c r="BO53" s="7">
        <v>4</v>
      </c>
      <c r="BP53" s="4">
        <v>3</v>
      </c>
      <c r="BQ53" s="67">
        <v>4</v>
      </c>
    </row>
    <row r="54" spans="1:69" s="7" customFormat="1" x14ac:dyDescent="0.15">
      <c r="A54" s="15"/>
      <c r="B54" s="59"/>
      <c r="C54" s="59"/>
      <c r="D54" s="59"/>
      <c r="E54" s="59"/>
      <c r="F54" s="59"/>
      <c r="G54" s="5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6"/>
      <c r="AV54" s="6"/>
      <c r="AW54" s="6"/>
      <c r="AX54" s="6"/>
      <c r="AY54" s="6"/>
      <c r="AZ54" s="6"/>
      <c r="BA54" s="3"/>
      <c r="BB54" s="6"/>
      <c r="BC54" s="6"/>
      <c r="BD54" s="12"/>
      <c r="BE54" s="12"/>
      <c r="BF54" s="14"/>
      <c r="BG54" s="14"/>
      <c r="BI54" s="4"/>
      <c r="BK54" s="22"/>
      <c r="BP54" s="4"/>
      <c r="BQ54" s="19"/>
    </row>
    <row r="55" spans="1:69" s="7" customFormat="1" x14ac:dyDescent="0.15">
      <c r="A55" s="16" t="s">
        <v>0</v>
      </c>
      <c r="B55" s="60"/>
      <c r="C55" s="60"/>
      <c r="D55" s="60"/>
      <c r="E55" s="60"/>
      <c r="F55" s="60"/>
      <c r="G55" s="6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6"/>
      <c r="AV55" s="6"/>
      <c r="AW55" s="6"/>
      <c r="AX55" s="6"/>
      <c r="AY55" s="6"/>
      <c r="AZ55" s="6"/>
      <c r="BA55" s="1"/>
      <c r="BB55" s="6"/>
      <c r="BC55" s="6"/>
      <c r="BD55" s="18"/>
      <c r="BE55" s="18"/>
      <c r="BF55" s="14"/>
      <c r="BG55" s="14"/>
      <c r="BK55" s="22"/>
      <c r="BP55" s="4"/>
      <c r="BQ55" s="19"/>
    </row>
    <row r="56" spans="1:69" s="7" customFormat="1" x14ac:dyDescent="0.15">
      <c r="A56" s="16" t="s">
        <v>6</v>
      </c>
      <c r="B56" s="60"/>
      <c r="C56" s="60"/>
      <c r="D56" s="60"/>
      <c r="E56" s="60"/>
      <c r="F56" s="60"/>
      <c r="G56" s="6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>
        <f>78+4</f>
        <v>82</v>
      </c>
      <c r="U56" s="1">
        <f>80+6</f>
        <v>86</v>
      </c>
      <c r="V56" s="1">
        <f>91+8</f>
        <v>99</v>
      </c>
      <c r="W56" s="1">
        <f>82+4</f>
        <v>86</v>
      </c>
      <c r="X56" s="1">
        <f>68+5</f>
        <v>73</v>
      </c>
      <c r="Y56" s="1">
        <f>64+7</f>
        <v>71</v>
      </c>
      <c r="Z56" s="1">
        <f>45+2</f>
        <v>47</v>
      </c>
      <c r="AA56" s="1">
        <f>44+2</f>
        <v>46</v>
      </c>
      <c r="AB56" s="1">
        <f>43+3</f>
        <v>46</v>
      </c>
      <c r="AC56" s="1">
        <f>27+4</f>
        <v>31</v>
      </c>
      <c r="AD56" s="1">
        <f>31+3</f>
        <v>34</v>
      </c>
      <c r="AE56" s="1">
        <f>32+6</f>
        <v>38</v>
      </c>
      <c r="AF56" s="1">
        <f>53+1</f>
        <v>54</v>
      </c>
      <c r="AG56" s="1">
        <f>34+5</f>
        <v>39</v>
      </c>
      <c r="AH56" s="1">
        <f>27+1</f>
        <v>28</v>
      </c>
      <c r="AI56" s="1">
        <v>37</v>
      </c>
      <c r="AJ56" s="1">
        <v>29</v>
      </c>
      <c r="AK56" s="1">
        <v>32</v>
      </c>
      <c r="AL56" s="1">
        <v>23</v>
      </c>
      <c r="AM56" s="1">
        <v>28</v>
      </c>
      <c r="AN56" s="1">
        <v>29</v>
      </c>
      <c r="AO56" s="1">
        <v>32</v>
      </c>
      <c r="AP56" s="2">
        <v>33</v>
      </c>
      <c r="AQ56" s="2">
        <v>18</v>
      </c>
      <c r="AR56" s="2">
        <v>20</v>
      </c>
      <c r="AS56" s="2">
        <v>28</v>
      </c>
      <c r="AT56" s="2">
        <v>32</v>
      </c>
      <c r="AU56" s="6">
        <v>16</v>
      </c>
      <c r="AV56" s="6">
        <v>24</v>
      </c>
      <c r="AW56" s="6">
        <v>31</v>
      </c>
      <c r="AX56" s="6">
        <v>33</v>
      </c>
      <c r="AY56" s="6">
        <v>21</v>
      </c>
      <c r="AZ56" s="6">
        <v>25</v>
      </c>
      <c r="BA56" s="3">
        <v>18</v>
      </c>
      <c r="BB56" s="6">
        <v>32</v>
      </c>
      <c r="BC56" s="6">
        <v>12</v>
      </c>
      <c r="BD56" s="7">
        <v>24</v>
      </c>
      <c r="BE56" s="7">
        <v>26</v>
      </c>
      <c r="BF56" s="14">
        <v>14</v>
      </c>
      <c r="BG56" s="14">
        <v>19</v>
      </c>
      <c r="BH56" s="7">
        <v>22</v>
      </c>
      <c r="BI56" s="4">
        <v>22</v>
      </c>
      <c r="BJ56" s="7">
        <v>14</v>
      </c>
      <c r="BK56" s="22">
        <v>14</v>
      </c>
      <c r="BL56" s="7">
        <v>23</v>
      </c>
      <c r="BM56" s="4">
        <v>24</v>
      </c>
      <c r="BN56" s="4">
        <v>28</v>
      </c>
      <c r="BO56" s="4">
        <v>16</v>
      </c>
      <c r="BP56" s="4">
        <v>14</v>
      </c>
      <c r="BQ56" s="67">
        <v>22</v>
      </c>
    </row>
    <row r="57" spans="1:69" s="7" customFormat="1" x14ac:dyDescent="0.15">
      <c r="A57" s="16" t="s">
        <v>7</v>
      </c>
      <c r="B57" s="60"/>
      <c r="C57" s="60"/>
      <c r="D57" s="60"/>
      <c r="E57" s="60"/>
      <c r="F57" s="60"/>
      <c r="G57" s="6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>
        <v>15</v>
      </c>
      <c r="AL57" s="1">
        <v>12</v>
      </c>
      <c r="AM57" s="1">
        <v>12</v>
      </c>
      <c r="AN57" s="1">
        <v>9</v>
      </c>
      <c r="AO57" s="1">
        <v>11</v>
      </c>
      <c r="AP57" s="2">
        <v>15</v>
      </c>
      <c r="AQ57" s="2">
        <v>16</v>
      </c>
      <c r="AR57" s="2">
        <v>20</v>
      </c>
      <c r="AS57" s="2">
        <v>11</v>
      </c>
      <c r="AT57" s="2">
        <v>7</v>
      </c>
      <c r="AU57" s="6">
        <v>10</v>
      </c>
      <c r="AV57" s="6">
        <v>9</v>
      </c>
      <c r="AW57" s="6">
        <v>15</v>
      </c>
      <c r="AX57" s="6">
        <v>8</v>
      </c>
      <c r="AY57" s="6">
        <v>9</v>
      </c>
      <c r="AZ57" s="6">
        <v>11</v>
      </c>
      <c r="BA57" s="1">
        <v>12</v>
      </c>
      <c r="BB57" s="6">
        <v>11</v>
      </c>
      <c r="BC57" s="6">
        <v>8</v>
      </c>
      <c r="BD57" s="7">
        <v>13</v>
      </c>
      <c r="BE57" s="7">
        <v>17</v>
      </c>
      <c r="BF57" s="14">
        <v>8</v>
      </c>
      <c r="BG57" s="14">
        <v>13</v>
      </c>
      <c r="BH57" s="7">
        <v>12</v>
      </c>
      <c r="BI57" s="4">
        <v>13</v>
      </c>
      <c r="BJ57" s="7">
        <v>7</v>
      </c>
      <c r="BK57" s="22">
        <v>9</v>
      </c>
      <c r="BL57" s="7">
        <v>5</v>
      </c>
      <c r="BM57" s="4">
        <v>15</v>
      </c>
      <c r="BN57" s="4">
        <v>4</v>
      </c>
      <c r="BO57" s="4">
        <v>9</v>
      </c>
      <c r="BP57" s="4">
        <v>10</v>
      </c>
      <c r="BQ57" s="67">
        <v>10</v>
      </c>
    </row>
    <row r="58" spans="1:69" s="7" customFormat="1" x14ac:dyDescent="0.15">
      <c r="A58" s="16" t="s">
        <v>8</v>
      </c>
      <c r="B58" s="60"/>
      <c r="C58" s="60"/>
      <c r="D58" s="60"/>
      <c r="E58" s="60"/>
      <c r="F58" s="60"/>
      <c r="G58" s="6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6"/>
      <c r="AV58" s="6"/>
      <c r="AW58" s="6"/>
      <c r="AX58" s="6">
        <v>11</v>
      </c>
      <c r="AY58" s="6">
        <v>19</v>
      </c>
      <c r="AZ58" s="6">
        <v>17</v>
      </c>
      <c r="BA58" s="3">
        <v>9</v>
      </c>
      <c r="BB58" s="6">
        <v>14</v>
      </c>
      <c r="BC58" s="6">
        <v>12</v>
      </c>
      <c r="BD58" s="7">
        <v>15</v>
      </c>
      <c r="BE58" s="7">
        <v>11</v>
      </c>
      <c r="BF58" s="14">
        <v>21</v>
      </c>
      <c r="BG58" s="14">
        <v>23</v>
      </c>
      <c r="BH58" s="7">
        <v>20</v>
      </c>
      <c r="BI58" s="4">
        <v>15</v>
      </c>
      <c r="BJ58" s="7">
        <v>13</v>
      </c>
      <c r="BK58" s="22">
        <v>11</v>
      </c>
      <c r="BL58" s="7">
        <v>25</v>
      </c>
      <c r="BM58" s="4">
        <v>15</v>
      </c>
      <c r="BN58" s="4">
        <v>18</v>
      </c>
      <c r="BO58" s="4">
        <v>16</v>
      </c>
      <c r="BP58" s="4">
        <v>20</v>
      </c>
      <c r="BQ58" s="67">
        <v>21</v>
      </c>
    </row>
    <row r="59" spans="1:69" s="7" customFormat="1" x14ac:dyDescent="0.15">
      <c r="A59" s="16" t="s">
        <v>9</v>
      </c>
      <c r="B59" s="60"/>
      <c r="C59" s="60"/>
      <c r="D59" s="60"/>
      <c r="E59" s="60"/>
      <c r="F59" s="60"/>
      <c r="G59" s="6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>
        <v>12</v>
      </c>
      <c r="AO59" s="1">
        <v>17</v>
      </c>
      <c r="AP59" s="2">
        <v>17</v>
      </c>
      <c r="AQ59" s="2">
        <v>12</v>
      </c>
      <c r="AR59" s="2">
        <v>10</v>
      </c>
      <c r="AS59" s="2">
        <v>9</v>
      </c>
      <c r="AT59" s="2">
        <v>16</v>
      </c>
      <c r="AU59" s="6">
        <v>13</v>
      </c>
      <c r="AV59" s="6">
        <v>7</v>
      </c>
      <c r="AW59" s="6">
        <v>15</v>
      </c>
      <c r="AX59" s="6">
        <v>15</v>
      </c>
      <c r="AY59" s="6">
        <v>13</v>
      </c>
      <c r="AZ59" s="6">
        <v>11</v>
      </c>
      <c r="BA59" s="3">
        <v>16</v>
      </c>
      <c r="BB59" s="6">
        <v>12</v>
      </c>
      <c r="BC59" s="6">
        <v>15</v>
      </c>
      <c r="BD59" s="7">
        <v>15</v>
      </c>
      <c r="BE59" s="7">
        <v>18</v>
      </c>
      <c r="BF59" s="14">
        <v>17</v>
      </c>
      <c r="BG59" s="14">
        <v>19</v>
      </c>
      <c r="BH59" s="7">
        <v>16</v>
      </c>
      <c r="BI59" s="4">
        <v>17</v>
      </c>
      <c r="BJ59" s="7">
        <v>11</v>
      </c>
      <c r="BK59" s="22">
        <v>9</v>
      </c>
      <c r="BL59" s="7">
        <v>14</v>
      </c>
      <c r="BM59" s="4">
        <v>12</v>
      </c>
      <c r="BN59" s="4">
        <v>10</v>
      </c>
      <c r="BO59" s="4">
        <v>14</v>
      </c>
      <c r="BP59" s="4">
        <v>11</v>
      </c>
      <c r="BQ59" s="67">
        <v>15</v>
      </c>
    </row>
    <row r="60" spans="1:69" s="7" customFormat="1" x14ac:dyDescent="0.15">
      <c r="A60" s="16" t="s">
        <v>10</v>
      </c>
      <c r="B60" s="60"/>
      <c r="D60" s="62">
        <v>591</v>
      </c>
      <c r="E60" s="62">
        <v>431</v>
      </c>
      <c r="F60" s="62">
        <v>405</v>
      </c>
      <c r="G60" s="62">
        <v>411</v>
      </c>
      <c r="H60" s="1">
        <f>302+27</f>
        <v>329</v>
      </c>
      <c r="I60" s="1">
        <f>356+28</f>
        <v>384</v>
      </c>
      <c r="J60" s="1">
        <f>306+28</f>
        <v>334</v>
      </c>
      <c r="K60" s="1">
        <f>345+18</f>
        <v>363</v>
      </c>
      <c r="L60" s="1">
        <f>296+22</f>
        <v>318</v>
      </c>
      <c r="M60" s="1">
        <f>284+16</f>
        <v>300</v>
      </c>
      <c r="N60" s="1">
        <f>265+20</f>
        <v>285</v>
      </c>
      <c r="O60" s="1">
        <f>200+13</f>
        <v>213</v>
      </c>
      <c r="P60" s="1">
        <f>239+8</f>
        <v>247</v>
      </c>
      <c r="Q60" s="1">
        <f>210+8</f>
        <v>218</v>
      </c>
      <c r="R60" s="1">
        <f>200+12</f>
        <v>212</v>
      </c>
      <c r="S60" s="1">
        <f>189+6</f>
        <v>195</v>
      </c>
      <c r="T60" s="1">
        <f>185+7</f>
        <v>192</v>
      </c>
      <c r="U60" s="1">
        <f>154+9</f>
        <v>163</v>
      </c>
      <c r="V60" s="1">
        <f>160+6</f>
        <v>166</v>
      </c>
      <c r="W60" s="1">
        <f>121+4</f>
        <v>125</v>
      </c>
      <c r="X60" s="1">
        <f>130+7</f>
        <v>137</v>
      </c>
      <c r="Y60" s="1">
        <f>126+4</f>
        <v>130</v>
      </c>
      <c r="Z60" s="1">
        <f>100+5</f>
        <v>105</v>
      </c>
      <c r="AA60" s="1">
        <f>111+3</f>
        <v>114</v>
      </c>
      <c r="AB60" s="1">
        <f>114+6</f>
        <v>120</v>
      </c>
      <c r="AC60" s="1">
        <f>99+4</f>
        <v>103</v>
      </c>
      <c r="AD60" s="1">
        <f>96+3</f>
        <v>99</v>
      </c>
      <c r="AE60" s="1">
        <f>82+8</f>
        <v>90</v>
      </c>
      <c r="AF60" s="1">
        <f>94+1</f>
        <v>95</v>
      </c>
      <c r="AG60" s="1">
        <f>74+3</f>
        <v>77</v>
      </c>
      <c r="AH60" s="1">
        <f>81+5</f>
        <v>86</v>
      </c>
      <c r="AI60" s="1">
        <f>63+4</f>
        <v>67</v>
      </c>
      <c r="AJ60" s="1">
        <v>68</v>
      </c>
      <c r="AK60" s="1">
        <v>58</v>
      </c>
      <c r="AL60" s="1">
        <v>68</v>
      </c>
      <c r="AM60" s="1">
        <v>62</v>
      </c>
      <c r="AN60" s="1">
        <v>65</v>
      </c>
      <c r="AO60" s="1">
        <v>75</v>
      </c>
      <c r="AP60" s="2">
        <v>77</v>
      </c>
      <c r="AQ60" s="2">
        <v>78</v>
      </c>
      <c r="AR60" s="2">
        <v>94</v>
      </c>
      <c r="AS60" s="2">
        <v>61</v>
      </c>
      <c r="AT60" s="2">
        <v>86</v>
      </c>
      <c r="AU60" s="6">
        <v>67</v>
      </c>
      <c r="AV60" s="6">
        <v>74</v>
      </c>
      <c r="AW60" s="6">
        <v>69</v>
      </c>
      <c r="AX60" s="6">
        <v>66</v>
      </c>
      <c r="AY60" s="6">
        <v>62</v>
      </c>
      <c r="AZ60" s="6">
        <v>75</v>
      </c>
      <c r="BA60" s="3">
        <v>63</v>
      </c>
      <c r="BB60" s="6">
        <v>62</v>
      </c>
      <c r="BC60" s="6">
        <v>59</v>
      </c>
      <c r="BD60" s="7">
        <v>65</v>
      </c>
      <c r="BE60" s="7">
        <v>66</v>
      </c>
      <c r="BF60" s="14">
        <v>44</v>
      </c>
      <c r="BG60" s="14">
        <v>60</v>
      </c>
      <c r="BH60" s="7">
        <v>52</v>
      </c>
      <c r="BI60" s="4">
        <v>54</v>
      </c>
      <c r="BJ60" s="7">
        <v>39</v>
      </c>
      <c r="BK60" s="22">
        <v>46</v>
      </c>
      <c r="BL60" s="7">
        <v>63</v>
      </c>
      <c r="BM60" s="4">
        <v>42</v>
      </c>
      <c r="BN60" s="4">
        <v>61</v>
      </c>
      <c r="BO60" s="4">
        <v>51</v>
      </c>
      <c r="BP60" s="4">
        <v>37</v>
      </c>
      <c r="BQ60" s="67">
        <v>47</v>
      </c>
    </row>
    <row r="61" spans="1:69" s="7" customFormat="1" x14ac:dyDescent="0.15">
      <c r="A61" s="16" t="s">
        <v>11</v>
      </c>
      <c r="B61" s="60"/>
      <c r="C61" s="60"/>
      <c r="D61" s="60"/>
      <c r="E61" s="60"/>
      <c r="F61" s="60"/>
      <c r="G61" s="6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>
        <v>55</v>
      </c>
      <c r="U61" s="1">
        <f>51+2</f>
        <v>53</v>
      </c>
      <c r="V61" s="1">
        <f>51+3</f>
        <v>54</v>
      </c>
      <c r="W61" s="1">
        <f>33+5</f>
        <v>38</v>
      </c>
      <c r="X61" s="1">
        <v>29</v>
      </c>
      <c r="Y61" s="1">
        <f>42+3</f>
        <v>45</v>
      </c>
      <c r="Z61" s="1">
        <f>33+3</f>
        <v>36</v>
      </c>
      <c r="AA61" s="1">
        <f>37+4</f>
        <v>41</v>
      </c>
      <c r="AB61" s="1">
        <f>19+3</f>
        <v>22</v>
      </c>
      <c r="AC61" s="1">
        <f>36+1</f>
        <v>37</v>
      </c>
      <c r="AD61" s="1">
        <f>28+2</f>
        <v>30</v>
      </c>
      <c r="AE61" s="1">
        <f>24+1</f>
        <v>25</v>
      </c>
      <c r="AF61" s="1">
        <f>30+2</f>
        <v>32</v>
      </c>
      <c r="AG61" s="1">
        <f>25+2</f>
        <v>27</v>
      </c>
      <c r="AH61" s="1">
        <v>35</v>
      </c>
      <c r="AI61" s="1">
        <f>28+2</f>
        <v>30</v>
      </c>
      <c r="AJ61" s="1">
        <v>35</v>
      </c>
      <c r="AK61" s="1">
        <v>24</v>
      </c>
      <c r="AL61" s="1">
        <v>32</v>
      </c>
      <c r="AM61" s="1">
        <v>36</v>
      </c>
      <c r="AN61" s="1">
        <v>22</v>
      </c>
      <c r="AO61" s="1">
        <v>32</v>
      </c>
      <c r="AP61" s="2">
        <v>17</v>
      </c>
      <c r="AQ61" s="2">
        <v>23</v>
      </c>
      <c r="AR61" s="2">
        <v>21</v>
      </c>
      <c r="AS61" s="2">
        <v>20</v>
      </c>
      <c r="AT61" s="2">
        <v>29</v>
      </c>
      <c r="AU61" s="6">
        <v>14</v>
      </c>
      <c r="AV61" s="6">
        <v>31</v>
      </c>
      <c r="AW61" s="6">
        <v>23</v>
      </c>
      <c r="AX61" s="6">
        <v>27</v>
      </c>
      <c r="AY61" s="6">
        <v>18</v>
      </c>
      <c r="AZ61" s="6">
        <v>27</v>
      </c>
      <c r="BA61" s="1">
        <v>29</v>
      </c>
      <c r="BB61" s="6">
        <v>13</v>
      </c>
      <c r="BC61" s="6">
        <v>28</v>
      </c>
      <c r="BD61" s="7">
        <v>22</v>
      </c>
      <c r="BE61" s="7">
        <v>22</v>
      </c>
      <c r="BF61" s="14">
        <v>14</v>
      </c>
      <c r="BG61" s="14">
        <v>25</v>
      </c>
      <c r="BH61" s="7">
        <v>16</v>
      </c>
      <c r="BI61" s="4">
        <v>12</v>
      </c>
      <c r="BJ61" s="7">
        <v>15</v>
      </c>
      <c r="BK61" s="22">
        <v>14</v>
      </c>
      <c r="BL61" s="7">
        <v>27</v>
      </c>
      <c r="BM61" s="4">
        <v>22</v>
      </c>
      <c r="BN61" s="4">
        <v>12</v>
      </c>
      <c r="BO61" s="4">
        <v>20</v>
      </c>
      <c r="BP61" s="4">
        <v>15</v>
      </c>
      <c r="BQ61" s="67">
        <v>14</v>
      </c>
    </row>
    <row r="62" spans="1:69" s="7" customFormat="1" x14ac:dyDescent="0.15">
      <c r="A62" s="16" t="s">
        <v>12</v>
      </c>
      <c r="B62" s="60"/>
      <c r="C62" s="60"/>
      <c r="D62" s="60"/>
      <c r="E62" s="60"/>
      <c r="F62" s="60"/>
      <c r="G62" s="6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6"/>
      <c r="AV62" s="6"/>
      <c r="AW62" s="6"/>
      <c r="AX62" s="6"/>
      <c r="AY62" s="6"/>
      <c r="AZ62" s="6"/>
      <c r="BA62" s="1"/>
      <c r="BB62" s="6"/>
      <c r="BC62" s="6"/>
      <c r="BE62" s="7">
        <v>9</v>
      </c>
      <c r="BF62" s="14">
        <v>9</v>
      </c>
      <c r="BG62" s="14">
        <v>11</v>
      </c>
      <c r="BH62" s="7">
        <v>11</v>
      </c>
      <c r="BI62" s="4">
        <v>10</v>
      </c>
      <c r="BJ62" s="7">
        <v>7</v>
      </c>
      <c r="BK62" s="22">
        <v>5</v>
      </c>
      <c r="BL62" s="7">
        <v>5</v>
      </c>
      <c r="BM62" s="4">
        <v>9</v>
      </c>
      <c r="BN62" s="4">
        <v>8</v>
      </c>
      <c r="BO62" s="4">
        <v>10</v>
      </c>
      <c r="BP62" s="4">
        <v>7</v>
      </c>
      <c r="BQ62" s="67">
        <v>6</v>
      </c>
    </row>
    <row r="63" spans="1:69" s="7" customFormat="1" x14ac:dyDescent="0.15">
      <c r="A63" s="16" t="s">
        <v>13</v>
      </c>
      <c r="B63" s="60"/>
      <c r="C63" s="60"/>
      <c r="D63" s="60"/>
      <c r="E63" s="60"/>
      <c r="F63" s="60"/>
      <c r="G63" s="6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6"/>
      <c r="AV63" s="6"/>
      <c r="AW63" s="6"/>
      <c r="AX63" s="6"/>
      <c r="AY63" s="6"/>
      <c r="AZ63" s="6"/>
      <c r="BA63" s="1"/>
      <c r="BB63" s="6">
        <v>5</v>
      </c>
      <c r="BC63" s="6">
        <v>8</v>
      </c>
      <c r="BD63" s="7">
        <v>12</v>
      </c>
      <c r="BE63" s="7">
        <v>10</v>
      </c>
      <c r="BF63" s="14">
        <v>8</v>
      </c>
      <c r="BG63" s="14">
        <v>8</v>
      </c>
      <c r="BH63" s="7">
        <v>6</v>
      </c>
      <c r="BI63" s="4">
        <v>8</v>
      </c>
      <c r="BJ63" s="7">
        <v>7</v>
      </c>
      <c r="BK63" s="22">
        <v>12</v>
      </c>
      <c r="BL63" s="7">
        <v>11</v>
      </c>
      <c r="BM63" s="4">
        <v>14</v>
      </c>
      <c r="BN63" s="4">
        <v>8</v>
      </c>
      <c r="BO63" s="4">
        <v>15</v>
      </c>
      <c r="BP63" s="4">
        <v>10</v>
      </c>
      <c r="BQ63" s="67">
        <v>5</v>
      </c>
    </row>
    <row r="64" spans="1:69" s="7" customFormat="1" x14ac:dyDescent="0.15">
      <c r="A64" s="16" t="s">
        <v>14</v>
      </c>
      <c r="B64" s="60"/>
      <c r="C64" s="60"/>
      <c r="D64" s="60"/>
      <c r="E64" s="60"/>
      <c r="F64" s="60"/>
      <c r="G64" s="6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6"/>
      <c r="AV64" s="6"/>
      <c r="AW64" s="6"/>
      <c r="AX64" s="6"/>
      <c r="AY64" s="6"/>
      <c r="AZ64" s="6">
        <v>16</v>
      </c>
      <c r="BA64" s="1">
        <v>17</v>
      </c>
      <c r="BB64" s="6">
        <v>11</v>
      </c>
      <c r="BC64" s="6">
        <v>19</v>
      </c>
      <c r="BD64" s="7">
        <v>15</v>
      </c>
      <c r="BE64" s="7">
        <v>20</v>
      </c>
      <c r="BF64" s="14">
        <v>14</v>
      </c>
      <c r="BG64" s="14">
        <v>17</v>
      </c>
      <c r="BH64" s="7">
        <v>12</v>
      </c>
      <c r="BI64" s="4">
        <v>13</v>
      </c>
      <c r="BJ64" s="7">
        <v>14</v>
      </c>
      <c r="BK64" s="22">
        <v>12</v>
      </c>
      <c r="BL64" s="7">
        <v>10</v>
      </c>
      <c r="BM64" s="4">
        <v>20</v>
      </c>
      <c r="BN64" s="4">
        <v>13</v>
      </c>
      <c r="BO64" s="4">
        <v>9</v>
      </c>
      <c r="BP64" s="4">
        <v>5</v>
      </c>
      <c r="BQ64" s="67">
        <v>3</v>
      </c>
    </row>
    <row r="65" spans="1:69" s="7" customFormat="1" x14ac:dyDescent="0.15">
      <c r="A65" s="16" t="s">
        <v>15</v>
      </c>
      <c r="B65" s="60"/>
      <c r="C65" s="60"/>
      <c r="D65" s="60"/>
      <c r="E65" s="60"/>
      <c r="F65" s="60"/>
      <c r="G65" s="6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 t="s">
        <v>3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6"/>
      <c r="AV65" s="6"/>
      <c r="AW65" s="6"/>
      <c r="AX65" s="6"/>
      <c r="AY65" s="6"/>
      <c r="AZ65" s="6"/>
      <c r="BA65" s="1"/>
      <c r="BB65" s="6">
        <v>16</v>
      </c>
      <c r="BC65" s="6">
        <v>16</v>
      </c>
      <c r="BD65" s="7">
        <v>27</v>
      </c>
      <c r="BE65" s="7">
        <v>13</v>
      </c>
      <c r="BF65" s="14">
        <v>16</v>
      </c>
      <c r="BG65" s="14">
        <v>7</v>
      </c>
      <c r="BH65" s="7">
        <v>10</v>
      </c>
      <c r="BI65" s="4">
        <v>13</v>
      </c>
      <c r="BJ65" s="7">
        <v>4</v>
      </c>
      <c r="BK65" s="22">
        <v>12</v>
      </c>
      <c r="BL65" s="7">
        <v>7</v>
      </c>
      <c r="BM65" s="4">
        <v>14</v>
      </c>
      <c r="BN65" s="4">
        <v>24</v>
      </c>
      <c r="BO65" s="4">
        <v>11</v>
      </c>
      <c r="BP65" s="4">
        <v>15</v>
      </c>
      <c r="BQ65" s="67">
        <v>5</v>
      </c>
    </row>
    <row r="66" spans="1:69" s="7" customFormat="1" x14ac:dyDescent="0.15">
      <c r="A66" s="16" t="s">
        <v>16</v>
      </c>
      <c r="B66" s="60"/>
      <c r="C66" s="60"/>
      <c r="D66" s="63">
        <v>737</v>
      </c>
      <c r="E66" s="63">
        <v>613</v>
      </c>
      <c r="F66" s="63">
        <v>559</v>
      </c>
      <c r="G66" s="63">
        <v>545</v>
      </c>
      <c r="H66" s="1">
        <f>479+41</f>
        <v>520</v>
      </c>
      <c r="I66" s="1">
        <f>520+23</f>
        <v>543</v>
      </c>
      <c r="J66" s="1">
        <f>422+32</f>
        <v>454</v>
      </c>
      <c r="K66" s="1">
        <f>451+34</f>
        <v>485</v>
      </c>
      <c r="L66" s="1">
        <f>436+23</f>
        <v>459</v>
      </c>
      <c r="M66" s="1">
        <f>458+17</f>
        <v>475</v>
      </c>
      <c r="N66" s="1">
        <f>356+20</f>
        <v>376</v>
      </c>
      <c r="O66" s="1">
        <f>359+17</f>
        <v>376</v>
      </c>
      <c r="P66" s="1">
        <f>394+10</f>
        <v>404</v>
      </c>
      <c r="Q66" s="1">
        <f>355+20</f>
        <v>375</v>
      </c>
      <c r="R66" s="1">
        <f>270+14</f>
        <v>284</v>
      </c>
      <c r="S66" s="1">
        <f>276+6</f>
        <v>282</v>
      </c>
      <c r="T66" s="1">
        <f>259+13</f>
        <v>272</v>
      </c>
      <c r="U66" s="1">
        <f>224+11</f>
        <v>235</v>
      </c>
      <c r="V66" s="1">
        <f>206+12</f>
        <v>218</v>
      </c>
      <c r="W66" s="1">
        <f>201+10</f>
        <v>211</v>
      </c>
      <c r="X66" s="1">
        <f>167+5</f>
        <v>172</v>
      </c>
      <c r="Y66" s="1">
        <f>161+5</f>
        <v>166</v>
      </c>
      <c r="Z66" s="1">
        <f>117+6</f>
        <v>123</v>
      </c>
      <c r="AA66" s="1">
        <f>136+3</f>
        <v>139</v>
      </c>
      <c r="AB66" s="1">
        <f>147+8</f>
        <v>155</v>
      </c>
      <c r="AC66" s="1">
        <f>107+10</f>
        <v>117</v>
      </c>
      <c r="AD66" s="1">
        <f>106+1</f>
        <v>107</v>
      </c>
      <c r="AE66" s="1">
        <f>132+8</f>
        <v>140</v>
      </c>
      <c r="AF66" s="1">
        <f>94+2</f>
        <v>96</v>
      </c>
      <c r="AG66" s="1">
        <f>97+3</f>
        <v>100</v>
      </c>
      <c r="AH66" s="1">
        <f>78+2</f>
        <v>80</v>
      </c>
      <c r="AI66" s="1">
        <f>102+6</f>
        <v>108</v>
      </c>
      <c r="AJ66" s="1">
        <v>69</v>
      </c>
      <c r="AK66" s="1">
        <v>90</v>
      </c>
      <c r="AL66" s="1">
        <v>83</v>
      </c>
      <c r="AM66" s="1">
        <v>73</v>
      </c>
      <c r="AN66" s="1">
        <v>79</v>
      </c>
      <c r="AO66" s="1">
        <v>70</v>
      </c>
      <c r="AP66" s="2">
        <v>79</v>
      </c>
      <c r="AQ66" s="2">
        <v>59</v>
      </c>
      <c r="AR66" s="2">
        <v>58</v>
      </c>
      <c r="AS66" s="2">
        <v>54</v>
      </c>
      <c r="AT66" s="2">
        <v>62</v>
      </c>
      <c r="AU66" s="6">
        <v>59</v>
      </c>
      <c r="AV66" s="6">
        <v>56</v>
      </c>
      <c r="AW66" s="6">
        <v>52</v>
      </c>
      <c r="AX66" s="6">
        <v>58</v>
      </c>
      <c r="AY66" s="6">
        <v>40</v>
      </c>
      <c r="AZ66" s="6">
        <v>40</v>
      </c>
      <c r="BA66" s="3">
        <v>39</v>
      </c>
      <c r="BB66" s="6">
        <v>56</v>
      </c>
      <c r="BC66" s="6">
        <v>54</v>
      </c>
      <c r="BD66" s="7">
        <v>46</v>
      </c>
      <c r="BE66" s="7">
        <v>60</v>
      </c>
      <c r="BF66" s="14">
        <v>75</v>
      </c>
      <c r="BG66" s="14">
        <v>59</v>
      </c>
      <c r="BH66" s="7">
        <v>61</v>
      </c>
      <c r="BI66" s="4">
        <v>59</v>
      </c>
      <c r="BJ66" s="7">
        <v>59</v>
      </c>
      <c r="BK66" s="22">
        <v>50</v>
      </c>
      <c r="BL66" s="7">
        <v>54</v>
      </c>
      <c r="BM66" s="4">
        <v>62</v>
      </c>
      <c r="BN66" s="4">
        <v>54</v>
      </c>
      <c r="BO66" s="4">
        <v>56</v>
      </c>
      <c r="BP66" s="4">
        <v>41</v>
      </c>
      <c r="BQ66" s="67">
        <v>30</v>
      </c>
    </row>
    <row r="67" spans="1:69" s="7" customFormat="1" x14ac:dyDescent="0.15">
      <c r="A67" s="16" t="s">
        <v>17</v>
      </c>
      <c r="B67" s="60"/>
      <c r="C67" s="60"/>
      <c r="D67" s="63">
        <v>652</v>
      </c>
      <c r="E67" s="63">
        <v>572</v>
      </c>
      <c r="F67" s="63">
        <v>530</v>
      </c>
      <c r="G67" s="63">
        <v>469</v>
      </c>
      <c r="H67" s="1">
        <f>393+35</f>
        <v>428</v>
      </c>
      <c r="I67" s="1">
        <f>444+27</f>
        <v>471</v>
      </c>
      <c r="J67" s="1">
        <v>368</v>
      </c>
      <c r="K67" s="1">
        <f>360+17</f>
        <v>377</v>
      </c>
      <c r="L67" s="1">
        <f>346+15</f>
        <v>361</v>
      </c>
      <c r="M67" s="1">
        <f>298+13</f>
        <v>311</v>
      </c>
      <c r="N67" s="1">
        <f>313+11</f>
        <v>324</v>
      </c>
      <c r="O67" s="1">
        <f>252+15</f>
        <v>267</v>
      </c>
      <c r="P67" s="1">
        <f>291+7</f>
        <v>298</v>
      </c>
      <c r="Q67" s="1">
        <f>242+13</f>
        <v>255</v>
      </c>
      <c r="R67" s="1">
        <f>228+7</f>
        <v>235</v>
      </c>
      <c r="S67" s="1">
        <f>216+5</f>
        <v>221</v>
      </c>
      <c r="T67" s="1">
        <f>195+9</f>
        <v>204</v>
      </c>
      <c r="U67" s="1">
        <f>187+6</f>
        <v>193</v>
      </c>
      <c r="V67" s="1">
        <f>155+8</f>
        <v>163</v>
      </c>
      <c r="W67" s="1">
        <f>149+6</f>
        <v>155</v>
      </c>
      <c r="X67" s="1">
        <f>145+2</f>
        <v>147</v>
      </c>
      <c r="Y67" s="1">
        <f>137+5</f>
        <v>142</v>
      </c>
      <c r="Z67" s="1">
        <f>97+4</f>
        <v>101</v>
      </c>
      <c r="AA67" s="1">
        <f>105+1</f>
        <v>106</v>
      </c>
      <c r="AB67" s="1">
        <f>96+8</f>
        <v>104</v>
      </c>
      <c r="AC67" s="1">
        <f>79+8</f>
        <v>87</v>
      </c>
      <c r="AD67" s="1">
        <f>82+3</f>
        <v>85</v>
      </c>
      <c r="AE67" s="1">
        <f>62+6</f>
        <v>68</v>
      </c>
      <c r="AF67" s="1">
        <f>73+3</f>
        <v>76</v>
      </c>
      <c r="AG67" s="1">
        <f>69+3</f>
        <v>72</v>
      </c>
      <c r="AH67" s="1">
        <f>69+5</f>
        <v>74</v>
      </c>
      <c r="AI67" s="1">
        <f>48+6</f>
        <v>54</v>
      </c>
      <c r="AJ67" s="1">
        <v>47</v>
      </c>
      <c r="AK67" s="1">
        <v>55</v>
      </c>
      <c r="AL67" s="1">
        <v>49</v>
      </c>
      <c r="AM67" s="1">
        <v>45</v>
      </c>
      <c r="AN67" s="1">
        <v>38</v>
      </c>
      <c r="AO67" s="1">
        <v>51</v>
      </c>
      <c r="AP67" s="2">
        <v>48</v>
      </c>
      <c r="AQ67" s="2">
        <v>34</v>
      </c>
      <c r="AR67" s="2">
        <v>42</v>
      </c>
      <c r="AS67" s="2">
        <v>40</v>
      </c>
      <c r="AT67" s="2">
        <v>34</v>
      </c>
      <c r="AU67" s="6">
        <v>31</v>
      </c>
      <c r="AV67" s="6">
        <v>33</v>
      </c>
      <c r="AW67" s="6">
        <v>29</v>
      </c>
      <c r="AX67" s="6">
        <v>33</v>
      </c>
      <c r="AY67" s="6">
        <v>25</v>
      </c>
      <c r="AZ67" s="6">
        <v>29</v>
      </c>
      <c r="BA67" s="1">
        <v>33</v>
      </c>
      <c r="BB67" s="6">
        <v>22</v>
      </c>
      <c r="BC67" s="6">
        <v>30</v>
      </c>
      <c r="BD67" s="7">
        <v>32</v>
      </c>
      <c r="BE67" s="7">
        <v>23</v>
      </c>
      <c r="BF67" s="14">
        <v>32</v>
      </c>
      <c r="BG67" s="14">
        <v>30</v>
      </c>
      <c r="BH67" s="7">
        <v>22</v>
      </c>
      <c r="BI67" s="4">
        <v>30</v>
      </c>
      <c r="BJ67" s="7">
        <v>24</v>
      </c>
      <c r="BK67" s="22">
        <v>33</v>
      </c>
      <c r="BL67" s="7">
        <v>29</v>
      </c>
      <c r="BM67" s="4">
        <v>35</v>
      </c>
      <c r="BN67" s="4">
        <v>33</v>
      </c>
      <c r="BO67" s="4">
        <v>24</v>
      </c>
      <c r="BP67" s="4">
        <v>29</v>
      </c>
      <c r="BQ67" s="67">
        <v>30</v>
      </c>
    </row>
    <row r="68" spans="1:69" s="7" customFormat="1" x14ac:dyDescent="0.15">
      <c r="A68" s="16" t="s">
        <v>18</v>
      </c>
      <c r="B68" s="60"/>
      <c r="C68" s="60"/>
      <c r="D68" s="63">
        <v>1715</v>
      </c>
      <c r="E68" s="63">
        <v>1485</v>
      </c>
      <c r="F68" s="63">
        <v>1382</v>
      </c>
      <c r="G68" s="63">
        <v>1447</v>
      </c>
      <c r="H68" s="1">
        <f>1120+101</f>
        <v>1221</v>
      </c>
      <c r="I68" s="1">
        <f>1183+81</f>
        <v>1264</v>
      </c>
      <c r="J68" s="1">
        <f>967+58</f>
        <v>1025</v>
      </c>
      <c r="K68" s="1">
        <f>1014+65</f>
        <v>1079</v>
      </c>
      <c r="L68" s="1">
        <f>968+64</f>
        <v>1032</v>
      </c>
      <c r="M68" s="1">
        <f>890+47</f>
        <v>937</v>
      </c>
      <c r="N68" s="1">
        <f>783+39</f>
        <v>822</v>
      </c>
      <c r="O68" s="1">
        <f>718+35</f>
        <v>753</v>
      </c>
      <c r="P68" s="1">
        <f>715+34</f>
        <v>749</v>
      </c>
      <c r="Q68" s="1">
        <f>690+33</f>
        <v>723</v>
      </c>
      <c r="R68" s="1">
        <f>603+20</f>
        <v>623</v>
      </c>
      <c r="S68" s="1">
        <f>544+20</f>
        <v>564</v>
      </c>
      <c r="T68" s="1">
        <f>461+23</f>
        <v>484</v>
      </c>
      <c r="U68" s="1">
        <f>453+22</f>
        <v>475</v>
      </c>
      <c r="V68" s="1">
        <f>402+13</f>
        <v>415</v>
      </c>
      <c r="W68" s="1">
        <f>393+18</f>
        <v>411</v>
      </c>
      <c r="X68" s="1">
        <f>344+18</f>
        <v>362</v>
      </c>
      <c r="Y68" s="1">
        <f>292+9</f>
        <v>301</v>
      </c>
      <c r="Z68" s="1">
        <f>225+15</f>
        <v>240</v>
      </c>
      <c r="AA68" s="1">
        <f>246+12</f>
        <v>258</v>
      </c>
      <c r="AB68" s="1">
        <f>239+6</f>
        <v>245</v>
      </c>
      <c r="AC68" s="1">
        <f>195+12</f>
        <v>207</v>
      </c>
      <c r="AD68" s="1">
        <f>186+10</f>
        <v>196</v>
      </c>
      <c r="AE68" s="1">
        <f>180+5</f>
        <v>185</v>
      </c>
      <c r="AF68" s="1">
        <f>153+7</f>
        <v>160</v>
      </c>
      <c r="AG68" s="1">
        <f>160+4</f>
        <v>164</v>
      </c>
      <c r="AH68" s="1">
        <f>153+4</f>
        <v>157</v>
      </c>
      <c r="AI68" s="1">
        <f>136+8</f>
        <v>144</v>
      </c>
      <c r="AJ68" s="1">
        <v>128</v>
      </c>
      <c r="AK68" s="1">
        <v>141</v>
      </c>
      <c r="AL68" s="1">
        <v>146</v>
      </c>
      <c r="AM68" s="1">
        <v>161</v>
      </c>
      <c r="AN68" s="1">
        <v>169</v>
      </c>
      <c r="AO68" s="1">
        <v>140</v>
      </c>
      <c r="AP68" s="2">
        <v>145</v>
      </c>
      <c r="AQ68" s="2">
        <v>158</v>
      </c>
      <c r="AR68" s="2">
        <v>161</v>
      </c>
      <c r="AS68" s="2">
        <v>186</v>
      </c>
      <c r="AT68" s="2">
        <v>180</v>
      </c>
      <c r="AU68" s="6">
        <v>134</v>
      </c>
      <c r="AV68" s="6">
        <v>122</v>
      </c>
      <c r="AW68" s="6">
        <v>142</v>
      </c>
      <c r="AX68" s="6">
        <v>147</v>
      </c>
      <c r="AY68" s="6">
        <v>122</v>
      </c>
      <c r="AZ68" s="6">
        <v>103</v>
      </c>
      <c r="BA68" s="3">
        <v>125</v>
      </c>
      <c r="BB68" s="6">
        <v>122</v>
      </c>
      <c r="BC68" s="6">
        <v>102</v>
      </c>
      <c r="BD68" s="7">
        <v>110</v>
      </c>
      <c r="BE68" s="7">
        <v>88</v>
      </c>
      <c r="BF68" s="14">
        <v>91</v>
      </c>
      <c r="BG68" s="14">
        <v>94</v>
      </c>
      <c r="BH68" s="7">
        <v>129</v>
      </c>
      <c r="BI68" s="4">
        <v>121</v>
      </c>
      <c r="BJ68" s="7">
        <v>92</v>
      </c>
      <c r="BK68" s="22">
        <v>114</v>
      </c>
      <c r="BL68" s="7">
        <v>124</v>
      </c>
      <c r="BM68" s="4">
        <v>104</v>
      </c>
      <c r="BN68" s="4">
        <v>100</v>
      </c>
      <c r="BO68" s="4">
        <v>90</v>
      </c>
      <c r="BP68" s="4">
        <v>89</v>
      </c>
      <c r="BQ68" s="67">
        <v>51</v>
      </c>
    </row>
    <row r="69" spans="1:69" s="7" customFormat="1" x14ac:dyDescent="0.15">
      <c r="A69" s="16" t="s">
        <v>19</v>
      </c>
      <c r="B69" s="60"/>
      <c r="C69" s="60"/>
      <c r="D69" s="65"/>
      <c r="E69" s="65"/>
      <c r="F69" s="65"/>
      <c r="G69" s="6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2"/>
      <c r="AQ69" s="2"/>
      <c r="AR69" s="2"/>
      <c r="AS69" s="2"/>
      <c r="AT69" s="2"/>
      <c r="AU69" s="6"/>
      <c r="AV69" s="6"/>
      <c r="AW69" s="6"/>
      <c r="AX69" s="6"/>
      <c r="AY69" s="6"/>
      <c r="AZ69" s="6"/>
      <c r="BA69" s="3">
        <v>21</v>
      </c>
      <c r="BB69" s="6">
        <v>12</v>
      </c>
      <c r="BC69" s="6">
        <v>17</v>
      </c>
      <c r="BD69" s="7">
        <v>15</v>
      </c>
      <c r="BE69" s="7">
        <v>15</v>
      </c>
      <c r="BF69" s="14">
        <v>17</v>
      </c>
      <c r="BG69" s="14">
        <v>16</v>
      </c>
      <c r="BH69" s="7">
        <v>22</v>
      </c>
      <c r="BI69" s="4">
        <v>15</v>
      </c>
      <c r="BJ69" s="7">
        <v>23</v>
      </c>
      <c r="BK69" s="22">
        <v>17</v>
      </c>
      <c r="BL69" s="7">
        <v>30</v>
      </c>
      <c r="BM69" s="4">
        <v>16</v>
      </c>
      <c r="BN69" s="4">
        <v>21</v>
      </c>
      <c r="BO69" s="4">
        <v>11</v>
      </c>
      <c r="BP69" s="4">
        <v>12</v>
      </c>
      <c r="BQ69" s="67">
        <v>17</v>
      </c>
    </row>
    <row r="70" spans="1:69" s="7" customFormat="1" x14ac:dyDescent="0.15">
      <c r="A70" s="16" t="s">
        <v>20</v>
      </c>
      <c r="B70" s="60"/>
      <c r="C70" s="60"/>
      <c r="D70" s="63">
        <v>837</v>
      </c>
      <c r="E70" s="63">
        <v>654</v>
      </c>
      <c r="F70" s="63">
        <v>616</v>
      </c>
      <c r="G70" s="63">
        <v>616</v>
      </c>
      <c r="H70" s="1">
        <f>486+27</f>
        <v>513</v>
      </c>
      <c r="I70" s="1">
        <f>511+30</f>
        <v>541</v>
      </c>
      <c r="J70" s="1">
        <f>448+24</f>
        <v>472</v>
      </c>
      <c r="K70" s="1">
        <f>424+20</f>
        <v>444</v>
      </c>
      <c r="L70" s="1">
        <f>400+20</f>
        <v>420</v>
      </c>
      <c r="M70" s="1">
        <f>377+24</f>
        <v>401</v>
      </c>
      <c r="N70" s="1">
        <f>341+20</f>
        <v>361</v>
      </c>
      <c r="O70" s="1">
        <v>339</v>
      </c>
      <c r="P70" s="1">
        <f>322+13</f>
        <v>335</v>
      </c>
      <c r="Q70" s="1">
        <f>324+20</f>
        <v>344</v>
      </c>
      <c r="R70" s="1">
        <f>271+8</f>
        <v>279</v>
      </c>
      <c r="S70" s="1">
        <f>240+18</f>
        <v>258</v>
      </c>
      <c r="T70" s="1">
        <f>240+13</f>
        <v>253</v>
      </c>
      <c r="U70" s="1">
        <f>245+11</f>
        <v>256</v>
      </c>
      <c r="V70" s="1">
        <f>190+9</f>
        <v>199</v>
      </c>
      <c r="W70" s="1">
        <f>184+4</f>
        <v>188</v>
      </c>
      <c r="X70" s="1">
        <f>169+4</f>
        <v>173</v>
      </c>
      <c r="Y70" s="1">
        <f>143+5</f>
        <v>148</v>
      </c>
      <c r="Z70" s="1">
        <f>118+8</f>
        <v>126</v>
      </c>
      <c r="AA70" s="1">
        <f>105+7</f>
        <v>112</v>
      </c>
      <c r="AB70" s="1">
        <f>107+6</f>
        <v>113</v>
      </c>
      <c r="AC70" s="1">
        <f>89+5</f>
        <v>94</v>
      </c>
      <c r="AD70" s="1">
        <f>96+1</f>
        <v>97</v>
      </c>
      <c r="AE70" s="1">
        <f>86+8</f>
        <v>94</v>
      </c>
      <c r="AF70" s="1">
        <f>87+3</f>
        <v>90</v>
      </c>
      <c r="AG70" s="1">
        <v>76</v>
      </c>
      <c r="AH70" s="1">
        <f>68+4</f>
        <v>72</v>
      </c>
      <c r="AI70" s="1">
        <f>58+5</f>
        <v>63</v>
      </c>
      <c r="AJ70" s="1">
        <v>60</v>
      </c>
      <c r="AK70" s="1">
        <v>73</v>
      </c>
      <c r="AL70" s="1">
        <v>68</v>
      </c>
      <c r="AM70" s="1">
        <v>65</v>
      </c>
      <c r="AN70" s="1">
        <v>58</v>
      </c>
      <c r="AO70" s="1">
        <v>51</v>
      </c>
      <c r="AP70" s="2">
        <v>54</v>
      </c>
      <c r="AQ70" s="2">
        <v>49</v>
      </c>
      <c r="AR70" s="2">
        <v>55</v>
      </c>
      <c r="AS70" s="2">
        <v>50</v>
      </c>
      <c r="AT70" s="2">
        <v>44</v>
      </c>
      <c r="AU70" s="6">
        <v>37</v>
      </c>
      <c r="AV70" s="6">
        <v>50</v>
      </c>
      <c r="AW70" s="6">
        <v>25</v>
      </c>
      <c r="AX70" s="6">
        <v>36</v>
      </c>
      <c r="AY70" s="6">
        <v>25</v>
      </c>
      <c r="AZ70" s="6">
        <v>23</v>
      </c>
      <c r="BA70" s="1">
        <v>37</v>
      </c>
      <c r="BB70" s="6">
        <v>35</v>
      </c>
      <c r="BC70" s="6">
        <v>39</v>
      </c>
      <c r="BD70" s="7">
        <v>27</v>
      </c>
      <c r="BE70" s="7">
        <v>29</v>
      </c>
      <c r="BF70" s="14">
        <v>36</v>
      </c>
      <c r="BG70" s="14">
        <v>23</v>
      </c>
      <c r="BH70" s="7">
        <v>26</v>
      </c>
      <c r="BI70" s="4">
        <v>29</v>
      </c>
      <c r="BJ70" s="7">
        <v>25</v>
      </c>
      <c r="BK70" s="22">
        <v>25</v>
      </c>
      <c r="BL70" s="7">
        <v>56</v>
      </c>
      <c r="BM70" s="4">
        <v>30</v>
      </c>
      <c r="BN70" s="4">
        <v>37</v>
      </c>
      <c r="BO70" s="4">
        <v>29</v>
      </c>
      <c r="BP70" s="4">
        <v>40</v>
      </c>
      <c r="BQ70" s="67">
        <v>26</v>
      </c>
    </row>
    <row r="71" spans="1:69" s="7" customFormat="1" x14ac:dyDescent="0.15">
      <c r="A71" s="16" t="s">
        <v>21</v>
      </c>
      <c r="B71" s="60"/>
      <c r="C71" s="60"/>
      <c r="D71" s="60"/>
      <c r="E71" s="60"/>
      <c r="F71" s="60"/>
      <c r="G71" s="6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"/>
      <c r="AQ71" s="2"/>
      <c r="AR71" s="2"/>
      <c r="AS71" s="2"/>
      <c r="AT71" s="2"/>
      <c r="AU71" s="6"/>
      <c r="AV71" s="6"/>
      <c r="AW71" s="6"/>
      <c r="AX71" s="6"/>
      <c r="AY71" s="6"/>
      <c r="AZ71" s="6"/>
      <c r="BA71" s="1"/>
      <c r="BB71" s="6"/>
      <c r="BC71" s="6"/>
      <c r="BD71" s="7">
        <v>7</v>
      </c>
      <c r="BE71" s="7">
        <v>10</v>
      </c>
      <c r="BF71" s="14">
        <v>6</v>
      </c>
      <c r="BG71" s="14">
        <v>7</v>
      </c>
      <c r="BH71" s="7">
        <v>8</v>
      </c>
      <c r="BI71" s="4">
        <v>13</v>
      </c>
      <c r="BJ71" s="7">
        <v>8</v>
      </c>
      <c r="BK71" s="22">
        <v>12</v>
      </c>
      <c r="BL71" s="7">
        <v>12</v>
      </c>
      <c r="BM71" s="4">
        <v>7</v>
      </c>
      <c r="BN71" s="4">
        <v>10</v>
      </c>
      <c r="BO71" s="4">
        <v>10</v>
      </c>
      <c r="BP71" s="4">
        <v>11</v>
      </c>
      <c r="BQ71" s="67">
        <v>11</v>
      </c>
    </row>
    <row r="72" spans="1:69" s="7" customFormat="1" x14ac:dyDescent="0.15">
      <c r="A72" s="16" t="s">
        <v>22</v>
      </c>
      <c r="B72" s="60"/>
      <c r="C72" s="60"/>
      <c r="D72" s="60"/>
      <c r="E72" s="60"/>
      <c r="F72" s="60"/>
      <c r="G72" s="6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>
        <v>38</v>
      </c>
      <c r="AC72" s="1">
        <f>24+1</f>
        <v>25</v>
      </c>
      <c r="AD72" s="1">
        <f>26+1</f>
        <v>27</v>
      </c>
      <c r="AE72" s="1">
        <f>25+2</f>
        <v>27</v>
      </c>
      <c r="AF72" s="1">
        <f>25+3</f>
        <v>28</v>
      </c>
      <c r="AG72" s="1">
        <v>23</v>
      </c>
      <c r="AH72" s="1">
        <f>30+2</f>
        <v>32</v>
      </c>
      <c r="AI72" s="1">
        <f>23+3</f>
        <v>26</v>
      </c>
      <c r="AJ72" s="1">
        <v>19</v>
      </c>
      <c r="AK72" s="1">
        <v>22</v>
      </c>
      <c r="AL72" s="1">
        <v>17</v>
      </c>
      <c r="AM72" s="1">
        <v>25</v>
      </c>
      <c r="AN72" s="1">
        <v>13</v>
      </c>
      <c r="AO72" s="1">
        <v>22</v>
      </c>
      <c r="AP72" s="2">
        <v>18</v>
      </c>
      <c r="AQ72" s="2">
        <v>20</v>
      </c>
      <c r="AR72" s="2">
        <v>11</v>
      </c>
      <c r="AS72" s="2">
        <v>20</v>
      </c>
      <c r="AT72" s="2">
        <v>15</v>
      </c>
      <c r="AU72" s="6">
        <v>17</v>
      </c>
      <c r="AV72" s="6">
        <v>11</v>
      </c>
      <c r="AW72" s="6">
        <v>13</v>
      </c>
      <c r="AX72" s="6">
        <v>10</v>
      </c>
      <c r="AY72" s="6">
        <v>14</v>
      </c>
      <c r="AZ72" s="6">
        <v>30</v>
      </c>
      <c r="BA72" s="1">
        <v>24</v>
      </c>
      <c r="BB72" s="6">
        <v>18</v>
      </c>
      <c r="BC72" s="6">
        <v>21</v>
      </c>
      <c r="BD72" s="7">
        <v>21</v>
      </c>
      <c r="BE72" s="7">
        <v>23</v>
      </c>
      <c r="BF72" s="14">
        <v>14</v>
      </c>
      <c r="BG72" s="7">
        <v>25</v>
      </c>
      <c r="BH72" s="7">
        <v>17</v>
      </c>
      <c r="BI72" s="4">
        <v>18</v>
      </c>
      <c r="BJ72" s="7">
        <v>21</v>
      </c>
      <c r="BK72" s="22">
        <v>11</v>
      </c>
      <c r="BL72" s="7">
        <v>15</v>
      </c>
      <c r="BM72" s="4">
        <v>18</v>
      </c>
      <c r="BN72" s="4">
        <v>11</v>
      </c>
      <c r="BO72" s="4">
        <v>16</v>
      </c>
      <c r="BP72" s="4">
        <v>14</v>
      </c>
      <c r="BQ72" s="67">
        <v>19</v>
      </c>
    </row>
    <row r="73" spans="1:69" s="7" customFormat="1" x14ac:dyDescent="0.15">
      <c r="A73" s="16" t="s">
        <v>23</v>
      </c>
      <c r="B73" s="60"/>
      <c r="C73" s="60"/>
      <c r="D73" s="60"/>
      <c r="E73" s="60"/>
      <c r="F73" s="60"/>
      <c r="G73" s="60"/>
      <c r="H73" s="1"/>
      <c r="I73" s="1"/>
      <c r="J73" s="1">
        <f>282+19</f>
        <v>301</v>
      </c>
      <c r="K73" s="1">
        <f>271+24</f>
        <v>295</v>
      </c>
      <c r="L73" s="1">
        <f>286+24</f>
        <v>310</v>
      </c>
      <c r="M73" s="1">
        <f>240+13</f>
        <v>253</v>
      </c>
      <c r="N73" s="1">
        <f>207+12</f>
        <v>219</v>
      </c>
      <c r="O73" s="1">
        <f>223+14</f>
        <v>237</v>
      </c>
      <c r="P73" s="1">
        <f>196+7</f>
        <v>203</v>
      </c>
      <c r="Q73" s="1">
        <f>169+11</f>
        <v>180</v>
      </c>
      <c r="R73" s="1">
        <f>158+4</f>
        <v>162</v>
      </c>
      <c r="S73" s="1">
        <f>155+6</f>
        <v>161</v>
      </c>
      <c r="T73" s="1">
        <f>148+5</f>
        <v>153</v>
      </c>
      <c r="U73" s="1">
        <f>130+5</f>
        <v>135</v>
      </c>
      <c r="V73" s="1">
        <f>134+2</f>
        <v>136</v>
      </c>
      <c r="W73" s="1">
        <f>121+4</f>
        <v>125</v>
      </c>
      <c r="X73" s="1">
        <f>122+6</f>
        <v>128</v>
      </c>
      <c r="Y73" s="1">
        <f>101+2</f>
        <v>103</v>
      </c>
      <c r="Z73" s="1">
        <f>79+4</f>
        <v>83</v>
      </c>
      <c r="AA73" s="1">
        <f>65+3</f>
        <v>68</v>
      </c>
      <c r="AB73" s="1">
        <f>53+6</f>
        <v>59</v>
      </c>
      <c r="AC73" s="1">
        <f>52+1</f>
        <v>53</v>
      </c>
      <c r="AD73" s="1">
        <f>53+1</f>
        <v>54</v>
      </c>
      <c r="AE73" s="1">
        <f>53+1</f>
        <v>54</v>
      </c>
      <c r="AF73" s="1">
        <f>37+2</f>
        <v>39</v>
      </c>
      <c r="AG73" s="1">
        <v>33</v>
      </c>
      <c r="AH73" s="1">
        <v>42</v>
      </c>
      <c r="AI73" s="1">
        <f>35+5</f>
        <v>40</v>
      </c>
      <c r="AJ73" s="1">
        <v>31</v>
      </c>
      <c r="AK73" s="1">
        <v>32</v>
      </c>
      <c r="AL73" s="1">
        <v>24</v>
      </c>
      <c r="AM73" s="1">
        <v>20</v>
      </c>
      <c r="AN73" s="1">
        <v>32</v>
      </c>
      <c r="AO73" s="1">
        <v>25</v>
      </c>
      <c r="AP73" s="2">
        <v>28</v>
      </c>
      <c r="AQ73" s="2">
        <v>35</v>
      </c>
      <c r="AR73" s="2">
        <v>34</v>
      </c>
      <c r="AS73" s="2">
        <v>20</v>
      </c>
      <c r="AT73" s="2">
        <v>34</v>
      </c>
      <c r="AU73" s="6">
        <v>32</v>
      </c>
      <c r="AV73" s="6">
        <v>16</v>
      </c>
      <c r="AW73" s="6">
        <v>19</v>
      </c>
      <c r="AX73" s="6">
        <v>29</v>
      </c>
      <c r="AY73" s="6">
        <v>19</v>
      </c>
      <c r="AZ73" s="6">
        <v>14</v>
      </c>
      <c r="BA73" s="3">
        <v>14</v>
      </c>
      <c r="BB73" s="6">
        <v>14</v>
      </c>
      <c r="BC73" s="6">
        <v>22</v>
      </c>
      <c r="BD73" s="7">
        <v>15</v>
      </c>
      <c r="BE73" s="7">
        <v>18</v>
      </c>
      <c r="BF73" s="14">
        <v>18</v>
      </c>
      <c r="BG73" s="7">
        <v>14</v>
      </c>
      <c r="BH73" s="7">
        <v>14</v>
      </c>
      <c r="BI73" s="4">
        <v>22</v>
      </c>
      <c r="BJ73" s="7">
        <v>22</v>
      </c>
      <c r="BK73" s="22">
        <v>15</v>
      </c>
      <c r="BL73" s="7">
        <v>25</v>
      </c>
      <c r="BM73" s="4">
        <v>19</v>
      </c>
      <c r="BN73" s="4">
        <v>21</v>
      </c>
      <c r="BO73" s="4">
        <v>19</v>
      </c>
      <c r="BP73" s="4">
        <v>23</v>
      </c>
      <c r="BQ73" s="67">
        <v>14</v>
      </c>
    </row>
    <row r="74" spans="1:69" s="7" customFormat="1" x14ac:dyDescent="0.15">
      <c r="A74" s="16" t="s">
        <v>24</v>
      </c>
      <c r="B74" s="60"/>
      <c r="C74" s="60"/>
      <c r="D74" s="60"/>
      <c r="E74" s="60"/>
      <c r="F74" s="60"/>
      <c r="G74" s="6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>
        <f>72+1</f>
        <v>73</v>
      </c>
      <c r="U74" s="1">
        <f>96+3</f>
        <v>99</v>
      </c>
      <c r="V74" s="1">
        <f>73+2</f>
        <v>75</v>
      </c>
      <c r="W74" s="1">
        <f>85+1</f>
        <v>86</v>
      </c>
      <c r="X74" s="1">
        <f>61+2</f>
        <v>63</v>
      </c>
      <c r="Y74" s="1">
        <f>54+4</f>
        <v>58</v>
      </c>
      <c r="Z74" s="1">
        <f>39+4</f>
        <v>43</v>
      </c>
      <c r="AA74" s="1">
        <f>44+3</f>
        <v>47</v>
      </c>
      <c r="AB74" s="1">
        <f>39+4</f>
        <v>43</v>
      </c>
      <c r="AC74" s="1">
        <f>34+3</f>
        <v>37</v>
      </c>
      <c r="AD74" s="1">
        <f>37+1</f>
        <v>38</v>
      </c>
      <c r="AE74" s="1">
        <f>36+2</f>
        <v>38</v>
      </c>
      <c r="AF74" s="1">
        <v>35</v>
      </c>
      <c r="AG74" s="1">
        <v>27</v>
      </c>
      <c r="AH74" s="1">
        <v>27</v>
      </c>
      <c r="AI74" s="1">
        <f>27+3</f>
        <v>30</v>
      </c>
      <c r="AJ74" s="1">
        <v>22</v>
      </c>
      <c r="AK74" s="1">
        <v>20</v>
      </c>
      <c r="AL74" s="1">
        <v>23</v>
      </c>
      <c r="AM74" s="1">
        <v>13</v>
      </c>
      <c r="AN74" s="1">
        <v>28</v>
      </c>
      <c r="AO74" s="1">
        <v>24</v>
      </c>
      <c r="AP74" s="2">
        <v>22</v>
      </c>
      <c r="AQ74" s="2">
        <v>23</v>
      </c>
      <c r="AR74" s="2">
        <v>24</v>
      </c>
      <c r="AS74" s="2">
        <v>18</v>
      </c>
      <c r="AT74" s="2">
        <v>17</v>
      </c>
      <c r="AU74" s="6">
        <v>22</v>
      </c>
      <c r="AV74" s="6">
        <v>18</v>
      </c>
      <c r="AW74" s="6">
        <v>18</v>
      </c>
      <c r="AX74" s="6">
        <v>21</v>
      </c>
      <c r="AY74" s="6">
        <v>14</v>
      </c>
      <c r="AZ74" s="6">
        <v>19</v>
      </c>
      <c r="BA74" s="3">
        <v>20</v>
      </c>
      <c r="BB74" s="6">
        <v>16</v>
      </c>
      <c r="BC74" s="6">
        <v>19</v>
      </c>
      <c r="BD74" s="7">
        <v>17</v>
      </c>
      <c r="BE74" s="7">
        <v>17</v>
      </c>
      <c r="BF74" s="14">
        <v>18</v>
      </c>
      <c r="BG74" s="14">
        <v>23</v>
      </c>
      <c r="BH74" s="7">
        <v>18</v>
      </c>
      <c r="BI74" s="4">
        <v>9</v>
      </c>
      <c r="BJ74" s="7">
        <v>18</v>
      </c>
      <c r="BK74" s="22">
        <v>13</v>
      </c>
      <c r="BL74" s="7">
        <v>12</v>
      </c>
      <c r="BM74" s="4">
        <v>24</v>
      </c>
      <c r="BN74" s="4">
        <v>16</v>
      </c>
      <c r="BO74" s="4">
        <v>24</v>
      </c>
      <c r="BP74" s="4">
        <v>24</v>
      </c>
      <c r="BQ74" s="67">
        <v>19</v>
      </c>
    </row>
    <row r="75" spans="1:69" s="7" customFormat="1" x14ac:dyDescent="0.15">
      <c r="A75" s="16" t="s">
        <v>74</v>
      </c>
      <c r="B75" s="60"/>
      <c r="C75" s="60"/>
      <c r="D75" s="60"/>
      <c r="E75" s="60"/>
      <c r="F75" s="60"/>
      <c r="G75" s="6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2"/>
      <c r="AQ75" s="2"/>
      <c r="AR75" s="2"/>
      <c r="AS75" s="2"/>
      <c r="AT75" s="2"/>
      <c r="AU75" s="6"/>
      <c r="AV75" s="6"/>
      <c r="AW75" s="6"/>
      <c r="AX75" s="6"/>
      <c r="AY75" s="6"/>
      <c r="AZ75" s="6"/>
      <c r="BA75" s="3"/>
      <c r="BB75" s="6"/>
      <c r="BC75" s="6"/>
      <c r="BF75" s="14"/>
      <c r="BG75" s="14">
        <v>19</v>
      </c>
      <c r="BH75" s="7">
        <v>12</v>
      </c>
      <c r="BI75" s="4">
        <v>11</v>
      </c>
      <c r="BJ75" s="7">
        <v>20</v>
      </c>
      <c r="BK75" s="22">
        <v>12</v>
      </c>
      <c r="BL75" s="7">
        <v>13</v>
      </c>
      <c r="BM75" s="4">
        <v>12</v>
      </c>
      <c r="BN75" s="4">
        <v>11</v>
      </c>
      <c r="BO75" s="4">
        <v>17</v>
      </c>
      <c r="BP75" s="4">
        <v>6</v>
      </c>
      <c r="BQ75" s="67">
        <v>12</v>
      </c>
    </row>
    <row r="76" spans="1:69" s="7" customFormat="1" x14ac:dyDescent="0.15">
      <c r="A76" s="16" t="s">
        <v>4</v>
      </c>
      <c r="B76" s="60"/>
      <c r="C76" s="60"/>
      <c r="D76" s="63">
        <v>3128</v>
      </c>
      <c r="E76" s="63">
        <v>2762</v>
      </c>
      <c r="F76" s="63">
        <v>2532</v>
      </c>
      <c r="G76" s="63">
        <v>2469</v>
      </c>
      <c r="H76" s="1">
        <f>2019+147</f>
        <v>2166</v>
      </c>
      <c r="I76" s="1">
        <f>2043+138</f>
        <v>2181</v>
      </c>
      <c r="J76" s="1">
        <f>1740+113</f>
        <v>1853</v>
      </c>
      <c r="K76" s="1">
        <f>1559+114</f>
        <v>1673</v>
      </c>
      <c r="L76" s="1">
        <f>1553+97</f>
        <v>1650</v>
      </c>
      <c r="M76" s="1">
        <f>1372+82</f>
        <v>1454</v>
      </c>
      <c r="N76" s="1">
        <f>1294+89</f>
        <v>1383</v>
      </c>
      <c r="O76" s="1">
        <f>1115+62</f>
        <v>1177</v>
      </c>
      <c r="P76" s="1">
        <f>1174+68</f>
        <v>1242</v>
      </c>
      <c r="Q76" s="1">
        <f>1078+60</f>
        <v>1138</v>
      </c>
      <c r="R76" s="1">
        <f>899+51</f>
        <v>950</v>
      </c>
      <c r="S76" s="1">
        <f>859+52</f>
        <v>911</v>
      </c>
      <c r="T76" s="1">
        <f>802+50</f>
        <v>852</v>
      </c>
      <c r="U76" s="1">
        <f>741+36</f>
        <v>777</v>
      </c>
      <c r="V76" s="1">
        <f>700+27</f>
        <v>727</v>
      </c>
      <c r="W76" s="1">
        <f>610+33</f>
        <v>643</v>
      </c>
      <c r="X76" s="1">
        <f>590+24</f>
        <v>614</v>
      </c>
      <c r="Y76" s="1">
        <f>604+25</f>
        <v>629</v>
      </c>
      <c r="Z76" s="1">
        <f>445+36</f>
        <v>481</v>
      </c>
      <c r="AA76" s="1">
        <f>416+26</f>
        <v>442</v>
      </c>
      <c r="AB76" s="1">
        <f>416+24</f>
        <v>440</v>
      </c>
      <c r="AC76" s="1">
        <f>344+19</f>
        <v>363</v>
      </c>
      <c r="AD76" s="1">
        <f>362+34</f>
        <v>396</v>
      </c>
      <c r="AE76" s="1">
        <f>347+19</f>
        <v>366</v>
      </c>
      <c r="AF76" s="1">
        <f>306+16</f>
        <v>322</v>
      </c>
      <c r="AG76" s="1">
        <f>274+17</f>
        <v>291</v>
      </c>
      <c r="AH76" s="1">
        <f>287+16</f>
        <v>303</v>
      </c>
      <c r="AI76" s="1">
        <f>272+16</f>
        <v>288</v>
      </c>
      <c r="AJ76" s="1">
        <v>275</v>
      </c>
      <c r="AK76" s="1">
        <v>289</v>
      </c>
      <c r="AL76" s="1">
        <v>301</v>
      </c>
      <c r="AM76" s="1">
        <v>269</v>
      </c>
      <c r="AN76" s="1">
        <v>296</v>
      </c>
      <c r="AO76" s="1">
        <v>259</v>
      </c>
      <c r="AP76" s="2">
        <v>283</v>
      </c>
      <c r="AQ76" s="2">
        <v>245</v>
      </c>
      <c r="AR76" s="2">
        <v>262</v>
      </c>
      <c r="AS76" s="2">
        <v>247</v>
      </c>
      <c r="AT76" s="2">
        <v>256</v>
      </c>
      <c r="AU76" s="6">
        <v>238</v>
      </c>
      <c r="AV76" s="6">
        <v>226</v>
      </c>
      <c r="AW76" s="6">
        <v>227</v>
      </c>
      <c r="AX76" s="6">
        <v>198</v>
      </c>
      <c r="AY76" s="6">
        <v>215</v>
      </c>
      <c r="AZ76" s="6">
        <v>205</v>
      </c>
      <c r="BA76" s="1">
        <v>196</v>
      </c>
      <c r="BB76" s="6">
        <v>195</v>
      </c>
      <c r="BC76" s="6">
        <v>199</v>
      </c>
      <c r="BD76" s="7">
        <v>188</v>
      </c>
      <c r="BE76" s="7">
        <v>183</v>
      </c>
      <c r="BF76" s="14">
        <v>172</v>
      </c>
      <c r="BG76" s="7">
        <v>173</v>
      </c>
      <c r="BH76" s="7">
        <v>173</v>
      </c>
      <c r="BI76" s="4">
        <v>157</v>
      </c>
      <c r="BJ76" s="7">
        <v>140</v>
      </c>
      <c r="BK76" s="22">
        <v>143</v>
      </c>
      <c r="BL76" s="7">
        <v>167</v>
      </c>
      <c r="BM76" s="23">
        <v>162</v>
      </c>
      <c r="BN76" s="4">
        <v>149</v>
      </c>
      <c r="BO76" s="7">
        <v>142</v>
      </c>
      <c r="BP76" s="4">
        <v>147</v>
      </c>
      <c r="BQ76" s="19">
        <v>129</v>
      </c>
    </row>
    <row r="77" spans="1:69" s="7" customFormat="1" ht="18.75" x14ac:dyDescent="0.15">
      <c r="A77" s="31" t="s">
        <v>76</v>
      </c>
      <c r="B77" s="61"/>
      <c r="C77" s="61"/>
      <c r="D77" s="61"/>
      <c r="E77" s="61"/>
      <c r="F77" s="61"/>
      <c r="G77" s="61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Z77" s="12"/>
      <c r="BA77" s="12"/>
      <c r="BC77" s="14"/>
      <c r="BD77" s="14"/>
      <c r="BF77" s="28"/>
      <c r="BG77" s="28"/>
      <c r="BH77" s="28"/>
      <c r="BN77" s="21"/>
      <c r="BO77" s="4"/>
      <c r="BP77" s="4"/>
      <c r="BQ77" s="23" t="s">
        <v>101</v>
      </c>
    </row>
    <row r="78" spans="1:69" s="7" customFormat="1" x14ac:dyDescent="0.15">
      <c r="A78" s="13"/>
      <c r="B78" s="59"/>
      <c r="C78" s="59"/>
      <c r="D78" s="59"/>
      <c r="E78" s="59"/>
      <c r="F78" s="59"/>
      <c r="G78" s="5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Z78" s="18"/>
      <c r="BA78" s="17"/>
      <c r="BC78" s="14"/>
      <c r="BD78" s="14"/>
      <c r="BE78" s="14"/>
      <c r="BF78" s="14"/>
      <c r="BK78" s="21"/>
      <c r="BP78" s="4"/>
      <c r="BQ78" s="4"/>
    </row>
    <row r="79" spans="1:69" s="7" customFormat="1" x14ac:dyDescent="0.15">
      <c r="A79" s="13"/>
      <c r="B79" s="59"/>
      <c r="C79" s="59"/>
      <c r="D79" s="59"/>
      <c r="E79" s="59"/>
      <c r="F79" s="59"/>
      <c r="G79" s="5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Z79" s="12"/>
      <c r="BA79" s="12"/>
      <c r="BC79" s="14"/>
      <c r="BD79" s="14"/>
      <c r="BE79" s="14"/>
      <c r="BF79" s="14"/>
      <c r="BK79" s="21"/>
      <c r="BP79" s="4"/>
      <c r="BQ79" s="4"/>
    </row>
    <row r="80" spans="1:69" s="7" customFormat="1" x14ac:dyDescent="0.15">
      <c r="A80" s="13"/>
      <c r="B80" s="59"/>
      <c r="C80" s="59"/>
      <c r="D80" s="59"/>
      <c r="E80" s="59"/>
      <c r="F80" s="59"/>
      <c r="G80" s="5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Z80" s="17"/>
      <c r="BA80" s="17"/>
      <c r="BC80" s="14"/>
      <c r="BD80" s="14"/>
      <c r="BE80" s="14"/>
      <c r="BF80" s="14"/>
      <c r="BK80" s="21"/>
      <c r="BP80" s="4"/>
      <c r="BQ80" s="4"/>
    </row>
    <row r="81" spans="1:69" s="7" customFormat="1" x14ac:dyDescent="0.15">
      <c r="A81" s="13"/>
      <c r="B81" s="59"/>
      <c r="C81" s="59"/>
      <c r="D81" s="59"/>
      <c r="E81" s="59"/>
      <c r="F81" s="59"/>
      <c r="G81" s="59"/>
      <c r="AZ81" s="12"/>
      <c r="BA81" s="12"/>
      <c r="BC81" s="14"/>
      <c r="BD81" s="14"/>
      <c r="BE81" s="14"/>
      <c r="BF81" s="14"/>
      <c r="BK81" s="21"/>
      <c r="BP81" s="4"/>
      <c r="BQ81" s="4"/>
    </row>
    <row r="82" spans="1:69" s="7" customFormat="1" x14ac:dyDescent="0.15">
      <c r="A82" s="13"/>
      <c r="B82" s="59"/>
      <c r="C82" s="59"/>
      <c r="D82" s="59"/>
      <c r="E82" s="59"/>
      <c r="F82" s="59"/>
      <c r="G82" s="59"/>
      <c r="AZ82" s="17"/>
      <c r="BA82" s="17"/>
      <c r="BC82" s="14"/>
      <c r="BD82" s="14"/>
      <c r="BE82" s="14"/>
      <c r="BF82" s="14"/>
      <c r="BK82" s="21"/>
      <c r="BP82" s="4"/>
      <c r="BQ82" s="4"/>
    </row>
    <row r="83" spans="1:69" s="7" customFormat="1" x14ac:dyDescent="0.15">
      <c r="A83" s="13"/>
      <c r="B83" s="59"/>
      <c r="C83" s="59"/>
      <c r="D83" s="59"/>
      <c r="E83" s="59"/>
      <c r="F83" s="59"/>
      <c r="G83" s="59"/>
      <c r="AZ83" s="12"/>
      <c r="BA83" s="12"/>
      <c r="BC83" s="14"/>
      <c r="BD83" s="14"/>
      <c r="BE83" s="14"/>
      <c r="BF83" s="14"/>
      <c r="BK83" s="21"/>
      <c r="BP83" s="4"/>
      <c r="BQ83" s="4"/>
    </row>
    <row r="84" spans="1:69" s="7" customFormat="1" x14ac:dyDescent="0.15">
      <c r="A84" s="13"/>
      <c r="B84" s="59"/>
      <c r="C84" s="59"/>
      <c r="D84" s="59"/>
      <c r="E84" s="59"/>
      <c r="F84" s="59"/>
      <c r="G84" s="59"/>
      <c r="AZ84" s="17"/>
      <c r="BA84" s="17"/>
      <c r="BC84" s="14"/>
      <c r="BD84" s="14"/>
      <c r="BE84" s="14"/>
      <c r="BF84" s="14"/>
      <c r="BK84" s="21"/>
      <c r="BP84" s="4"/>
      <c r="BQ84" s="4"/>
    </row>
    <row r="85" spans="1:69" s="7" customFormat="1" x14ac:dyDescent="0.15">
      <c r="A85" s="13"/>
      <c r="B85" s="59"/>
      <c r="C85" s="59"/>
      <c r="D85" s="59"/>
      <c r="E85" s="59"/>
      <c r="F85" s="59"/>
      <c r="G85" s="59"/>
      <c r="AZ85" s="12"/>
      <c r="BA85" s="12"/>
      <c r="BC85" s="14"/>
      <c r="BD85" s="14"/>
      <c r="BE85" s="14"/>
      <c r="BF85" s="14"/>
      <c r="BK85" s="21"/>
      <c r="BP85" s="4"/>
      <c r="BQ85" s="4"/>
    </row>
    <row r="86" spans="1:69" s="7" customFormat="1" x14ac:dyDescent="0.15">
      <c r="A86" s="13"/>
      <c r="B86" s="59"/>
      <c r="C86" s="59"/>
      <c r="D86" s="59"/>
      <c r="E86" s="59"/>
      <c r="F86" s="59"/>
      <c r="G86" s="59"/>
      <c r="AZ86" s="17"/>
      <c r="BA86" s="18"/>
      <c r="BC86" s="14"/>
      <c r="BD86" s="14"/>
      <c r="BE86" s="14"/>
      <c r="BF86" s="14"/>
      <c r="BK86" s="21"/>
      <c r="BP86" s="4"/>
    </row>
    <row r="87" spans="1:69" s="7" customFormat="1" x14ac:dyDescent="0.15">
      <c r="A87" s="13"/>
      <c r="B87" s="59"/>
      <c r="C87" s="59"/>
      <c r="D87" s="59"/>
      <c r="E87" s="59"/>
      <c r="F87" s="59"/>
      <c r="G87" s="59"/>
      <c r="AZ87" s="12"/>
      <c r="BA87" s="12"/>
      <c r="BC87" s="14"/>
      <c r="BD87" s="14"/>
      <c r="BE87" s="14"/>
      <c r="BF87" s="14"/>
      <c r="BK87" s="21"/>
      <c r="BP87" s="4"/>
    </row>
    <row r="88" spans="1:69" s="7" customFormat="1" x14ac:dyDescent="0.15">
      <c r="A88" s="13"/>
      <c r="B88" s="59"/>
      <c r="C88" s="59"/>
      <c r="D88" s="59"/>
      <c r="E88" s="59"/>
      <c r="F88" s="59"/>
      <c r="G88" s="59"/>
      <c r="AZ88" s="12"/>
      <c r="BA88" s="20"/>
      <c r="BC88" s="14"/>
      <c r="BD88" s="14"/>
      <c r="BE88" s="14"/>
      <c r="BF88" s="14"/>
      <c r="BK88" s="21"/>
      <c r="BP88" s="4"/>
    </row>
    <row r="89" spans="1:69" x14ac:dyDescent="0.15">
      <c r="BH89" s="7"/>
      <c r="BI89" s="7"/>
      <c r="BJ89" s="7"/>
      <c r="BK89" s="21"/>
      <c r="BN89" s="7"/>
      <c r="BO89" s="7"/>
      <c r="BQ89" s="7"/>
    </row>
    <row r="90" spans="1:69" x14ac:dyDescent="0.15">
      <c r="BI90" s="7"/>
      <c r="BJ90" s="7"/>
      <c r="BK90" s="21"/>
      <c r="BN90" s="7"/>
      <c r="BO90" s="7"/>
      <c r="BQ90" s="7"/>
    </row>
    <row r="91" spans="1:69" x14ac:dyDescent="0.15">
      <c r="BI91" s="7"/>
      <c r="BK91" s="21"/>
      <c r="BN91" s="7"/>
      <c r="BQ91" s="7"/>
    </row>
    <row r="92" spans="1:69" x14ac:dyDescent="0.15">
      <c r="BK92" s="21"/>
      <c r="BQ92" s="7"/>
    </row>
    <row r="93" spans="1:69" x14ac:dyDescent="0.15">
      <c r="BQ93" s="7"/>
    </row>
    <row r="94" spans="1:69" x14ac:dyDescent="0.15">
      <c r="BQ94" s="7"/>
    </row>
    <row r="95" spans="1:69" x14ac:dyDescent="0.15">
      <c r="BQ95" s="7"/>
    </row>
    <row r="96" spans="1:69" x14ac:dyDescent="0.15">
      <c r="BQ96" s="7"/>
    </row>
    <row r="97" spans="69:69" x14ac:dyDescent="0.15">
      <c r="BQ97" s="7"/>
    </row>
    <row r="98" spans="69:69" x14ac:dyDescent="0.15">
      <c r="BQ98" s="7"/>
    </row>
    <row r="99" spans="69:69" x14ac:dyDescent="0.15">
      <c r="BQ99" s="7"/>
    </row>
    <row r="100" spans="69:69" x14ac:dyDescent="0.15">
      <c r="BQ100" s="7"/>
    </row>
    <row r="134" spans="68:68" x14ac:dyDescent="0.15">
      <c r="BP134" s="7"/>
    </row>
    <row r="146" spans="68:68" x14ac:dyDescent="0.15">
      <c r="BP146" s="7"/>
    </row>
    <row r="147" spans="68:68" x14ac:dyDescent="0.15">
      <c r="BP147" s="7"/>
    </row>
    <row r="148" spans="68:68" x14ac:dyDescent="0.15">
      <c r="BP148" s="7"/>
    </row>
    <row r="149" spans="68:68" x14ac:dyDescent="0.15">
      <c r="BP149" s="7"/>
    </row>
    <row r="150" spans="68:68" x14ac:dyDescent="0.15">
      <c r="BP150" s="7"/>
    </row>
    <row r="151" spans="68:68" x14ac:dyDescent="0.15">
      <c r="BP151" s="7"/>
    </row>
    <row r="152" spans="68:68" x14ac:dyDescent="0.15">
      <c r="BP152" s="7"/>
    </row>
    <row r="153" spans="68:68" x14ac:dyDescent="0.15">
      <c r="BP153" s="7"/>
    </row>
    <row r="154" spans="68:68" x14ac:dyDescent="0.15">
      <c r="BP154" s="7"/>
    </row>
    <row r="155" spans="68:68" x14ac:dyDescent="0.15">
      <c r="BP155" s="7"/>
    </row>
    <row r="156" spans="68:68" x14ac:dyDescent="0.15">
      <c r="BP156" s="7"/>
    </row>
    <row r="157" spans="68:68" x14ac:dyDescent="0.15">
      <c r="BP157" s="7"/>
    </row>
    <row r="158" spans="68:68" x14ac:dyDescent="0.15">
      <c r="BP158" s="7"/>
    </row>
    <row r="159" spans="68:68" x14ac:dyDescent="0.15">
      <c r="BP159" s="7"/>
    </row>
    <row r="160" spans="68:68" x14ac:dyDescent="0.15">
      <c r="BP160" s="7"/>
    </row>
  </sheetData>
  <phoneticPr fontId="2"/>
  <pageMargins left="0.75" right="0.75" top="1" bottom="1" header="0.51200000000000001" footer="0.51200000000000001"/>
  <pageSetup paperSize="9" scale="71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92"/>
  <sheetViews>
    <sheetView zoomScaleNormal="100" zoomScaleSheetLayoutView="100" workbookViewId="0">
      <pane xSplit="1" ySplit="1" topLeftCell="AX56" activePane="bottomRight" state="frozen"/>
      <selection pane="topRight" activeCell="B1" sqref="B1"/>
      <selection pane="bottomLeft" activeCell="A3" sqref="A3"/>
      <selection pane="bottomRight" activeCell="BQ1" sqref="BQ1"/>
    </sheetView>
  </sheetViews>
  <sheetFormatPr defaultRowHeight="16.5" x14ac:dyDescent="0.15"/>
  <cols>
    <col min="1" max="1" width="15.625" style="10" customWidth="1"/>
    <col min="2" max="38" width="6.625" style="4" customWidth="1"/>
    <col min="39" max="39" width="7.375" style="4" customWidth="1"/>
    <col min="40" max="41" width="6.625" style="4" customWidth="1"/>
    <col min="42" max="62" width="6.25" style="4" customWidth="1"/>
    <col min="63" max="63" width="6.25" style="23" customWidth="1"/>
    <col min="64" max="68" width="6.25" style="4" customWidth="1"/>
    <col min="69" max="16384" width="9" style="4"/>
  </cols>
  <sheetData>
    <row r="1" spans="1:69" s="10" customFormat="1" ht="35.25" customHeight="1" x14ac:dyDescent="0.15">
      <c r="A1" s="30" t="s">
        <v>79</v>
      </c>
      <c r="B1" s="52">
        <v>1955</v>
      </c>
      <c r="C1" s="52">
        <v>1956</v>
      </c>
      <c r="D1" s="52">
        <v>1957</v>
      </c>
      <c r="E1" s="52">
        <v>1958</v>
      </c>
      <c r="F1" s="52">
        <v>1959</v>
      </c>
      <c r="G1" s="52">
        <v>1960</v>
      </c>
      <c r="H1" s="10">
        <v>1961</v>
      </c>
      <c r="I1" s="10">
        <v>1962</v>
      </c>
      <c r="J1" s="10">
        <v>1963</v>
      </c>
      <c r="K1" s="10">
        <v>1964</v>
      </c>
      <c r="L1" s="10">
        <v>1965</v>
      </c>
      <c r="M1" s="10">
        <v>1966</v>
      </c>
      <c r="N1" s="10">
        <v>1967</v>
      </c>
      <c r="O1" s="10">
        <v>1968</v>
      </c>
      <c r="P1" s="10">
        <v>1969</v>
      </c>
      <c r="Q1" s="10">
        <v>1970</v>
      </c>
      <c r="R1" s="10">
        <v>1971</v>
      </c>
      <c r="S1" s="10">
        <v>1972</v>
      </c>
      <c r="T1" s="10">
        <v>1973</v>
      </c>
      <c r="U1" s="10">
        <v>1974</v>
      </c>
      <c r="V1" s="10">
        <v>1975</v>
      </c>
      <c r="W1" s="10">
        <v>1976</v>
      </c>
      <c r="X1" s="10">
        <v>1977</v>
      </c>
      <c r="Y1" s="10">
        <v>1978</v>
      </c>
      <c r="Z1" s="10">
        <v>1979</v>
      </c>
      <c r="AA1" s="10">
        <v>1980</v>
      </c>
      <c r="AB1" s="10">
        <v>1981</v>
      </c>
      <c r="AC1" s="10">
        <v>1982</v>
      </c>
      <c r="AD1" s="10">
        <v>1983</v>
      </c>
      <c r="AE1" s="10">
        <v>1984</v>
      </c>
      <c r="AF1" s="10">
        <v>1985</v>
      </c>
      <c r="AG1" s="10">
        <v>1986</v>
      </c>
      <c r="AH1" s="10">
        <v>1987</v>
      </c>
      <c r="AI1" s="10">
        <v>1988</v>
      </c>
      <c r="AJ1" s="10">
        <v>1989</v>
      </c>
      <c r="AK1" s="10">
        <v>1990</v>
      </c>
      <c r="AL1" s="10">
        <v>1991</v>
      </c>
      <c r="AM1" s="10">
        <v>1992</v>
      </c>
      <c r="AN1" s="10">
        <v>1993</v>
      </c>
      <c r="AO1" s="10">
        <v>1994</v>
      </c>
      <c r="AP1" s="10">
        <v>1995</v>
      </c>
      <c r="AQ1" s="10">
        <v>1996</v>
      </c>
      <c r="AR1" s="10">
        <v>1997</v>
      </c>
      <c r="AS1" s="10">
        <v>1998</v>
      </c>
      <c r="AT1" s="10">
        <v>1999</v>
      </c>
      <c r="AU1" s="10">
        <v>2000</v>
      </c>
      <c r="AV1" s="10">
        <v>2001</v>
      </c>
      <c r="AW1" s="10">
        <v>2002</v>
      </c>
      <c r="AX1" s="10">
        <v>2003</v>
      </c>
      <c r="AY1" s="10">
        <v>2004</v>
      </c>
      <c r="AZ1" s="10">
        <v>2005</v>
      </c>
      <c r="BA1" s="10">
        <v>2006</v>
      </c>
      <c r="BB1" s="10">
        <v>2007</v>
      </c>
      <c r="BC1" s="10">
        <v>2008</v>
      </c>
      <c r="BD1" s="10">
        <v>2009</v>
      </c>
      <c r="BE1" s="10">
        <v>2010</v>
      </c>
      <c r="BF1" s="10">
        <v>2011</v>
      </c>
      <c r="BG1" s="10">
        <v>2012</v>
      </c>
      <c r="BH1" s="10">
        <v>2013</v>
      </c>
      <c r="BI1" s="10">
        <v>2014</v>
      </c>
      <c r="BJ1" s="10">
        <v>2015</v>
      </c>
      <c r="BK1" s="10">
        <v>2016</v>
      </c>
      <c r="BL1" s="10">
        <v>2017</v>
      </c>
      <c r="BM1" s="10">
        <v>2018</v>
      </c>
      <c r="BN1" s="10">
        <v>2019</v>
      </c>
      <c r="BO1" s="10">
        <v>2020</v>
      </c>
      <c r="BP1" s="58">
        <v>2021</v>
      </c>
      <c r="BQ1" s="10">
        <v>2022</v>
      </c>
    </row>
    <row r="2" spans="1:69" s="7" customFormat="1" x14ac:dyDescent="0.15">
      <c r="A2" s="15" t="s">
        <v>73</v>
      </c>
      <c r="B2" s="36">
        <v>52.3</v>
      </c>
      <c r="C2" s="36">
        <v>48.6</v>
      </c>
      <c r="D2" s="36">
        <v>46.9</v>
      </c>
      <c r="E2" s="36">
        <v>39.4</v>
      </c>
      <c r="F2" s="36">
        <v>35.5</v>
      </c>
      <c r="G2" s="36">
        <v>34.200000000000003</v>
      </c>
      <c r="H2" s="36">
        <v>29.6</v>
      </c>
      <c r="I2" s="36">
        <v>29.3</v>
      </c>
      <c r="J2" s="36">
        <v>24.2</v>
      </c>
      <c r="K2" s="36">
        <v>23.6</v>
      </c>
      <c r="L2" s="36">
        <v>22.8</v>
      </c>
      <c r="M2" s="36">
        <v>20.3</v>
      </c>
      <c r="N2" s="44">
        <v>17.8</v>
      </c>
      <c r="O2" s="36">
        <v>16.8</v>
      </c>
      <c r="P2" s="36">
        <v>16.100000000000001</v>
      </c>
      <c r="Q2" s="36">
        <v>15.5</v>
      </c>
      <c r="R2" s="36">
        <v>13</v>
      </c>
      <c r="S2" s="36">
        <v>11.9</v>
      </c>
      <c r="T2" s="36">
        <v>11.1</v>
      </c>
      <c r="U2" s="36">
        <v>10.4</v>
      </c>
      <c r="V2" s="36">
        <v>9.5</v>
      </c>
      <c r="W2" s="36">
        <v>8.5</v>
      </c>
      <c r="X2" s="36">
        <v>7.8</v>
      </c>
      <c r="Y2" s="36">
        <v>7.2</v>
      </c>
      <c r="Z2" s="36">
        <v>5.8</v>
      </c>
      <c r="AA2" s="36">
        <v>5.5</v>
      </c>
      <c r="AB2" s="36">
        <v>4.9000000000000004</v>
      </c>
      <c r="AC2" s="36">
        <v>4.5</v>
      </c>
      <c r="AD2" s="36">
        <v>4.5</v>
      </c>
      <c r="AE2" s="36">
        <v>4.0999999999999996</v>
      </c>
      <c r="AF2" s="36">
        <v>3.9</v>
      </c>
      <c r="AG2" s="36">
        <v>3.4</v>
      </c>
      <c r="AH2" s="36">
        <v>3.3</v>
      </c>
      <c r="AI2" s="36">
        <v>3.2</v>
      </c>
      <c r="AJ2" s="36">
        <v>2.9</v>
      </c>
      <c r="AK2" s="36">
        <v>3</v>
      </c>
      <c r="AL2" s="36">
        <v>2.7</v>
      </c>
      <c r="AM2" s="36">
        <v>2.7</v>
      </c>
      <c r="AN2" s="36">
        <v>2.6</v>
      </c>
      <c r="AO2" s="23">
        <v>2.5</v>
      </c>
      <c r="AP2" s="23">
        <v>2.6</v>
      </c>
      <c r="AQ2" s="4">
        <v>2.2999999999999998</v>
      </c>
      <c r="AR2" s="23">
        <v>2.2000000000000002</v>
      </c>
      <c r="AS2" s="23">
        <v>2.2000000000000002</v>
      </c>
      <c r="AT2" s="23">
        <v>2.2999999999999998</v>
      </c>
      <c r="AU2" s="23">
        <v>2.1</v>
      </c>
      <c r="AV2" s="23">
        <v>2</v>
      </c>
      <c r="AW2" s="23">
        <v>1.8</v>
      </c>
      <c r="AX2" s="4">
        <v>1.9</v>
      </c>
      <c r="AY2" s="4">
        <v>1.8</v>
      </c>
      <c r="AZ2" s="4">
        <v>1.8</v>
      </c>
      <c r="BA2" s="4">
        <v>1.8</v>
      </c>
      <c r="BB2" s="4">
        <v>1.7</v>
      </c>
      <c r="BC2" s="4">
        <v>1.8</v>
      </c>
      <c r="BD2" s="4">
        <v>1.7</v>
      </c>
      <c r="BE2" s="4">
        <v>1.7</v>
      </c>
      <c r="BF2" s="4">
        <v>1.7</v>
      </c>
      <c r="BG2" s="23">
        <v>1.7</v>
      </c>
      <c r="BH2" s="23">
        <v>1.7</v>
      </c>
      <c r="BI2" s="23">
        <v>1.7</v>
      </c>
      <c r="BJ2" s="23">
        <v>1.6</v>
      </c>
      <c r="BK2" s="4">
        <v>1.5</v>
      </c>
      <c r="BL2" s="23">
        <v>1.9</v>
      </c>
      <c r="BM2" s="4">
        <v>1.8</v>
      </c>
      <c r="BN2" s="4">
        <v>1.7</v>
      </c>
      <c r="BO2" s="4">
        <v>1.5</v>
      </c>
      <c r="BP2" s="57">
        <v>1.5</v>
      </c>
      <c r="BQ2" s="66">
        <v>1.4</v>
      </c>
    </row>
    <row r="3" spans="1:69" s="7" customFormat="1" ht="9.75" customHeight="1" x14ac:dyDescent="0.15">
      <c r="A3" s="1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6"/>
      <c r="AB3" s="36"/>
      <c r="AC3" s="36"/>
      <c r="AE3" s="36"/>
      <c r="AF3" s="36"/>
      <c r="AG3" s="36"/>
      <c r="AH3" s="43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7"/>
      <c r="AV3" s="37"/>
      <c r="AW3" s="37"/>
      <c r="AX3" s="37"/>
      <c r="AY3" s="37"/>
      <c r="AZ3" s="37"/>
      <c r="BA3" s="44"/>
      <c r="BB3" s="37"/>
      <c r="BC3" s="37"/>
      <c r="BD3" s="39"/>
      <c r="BE3" s="39"/>
      <c r="BF3" s="39"/>
      <c r="BG3" s="39"/>
      <c r="BH3" s="39"/>
      <c r="BI3" s="42"/>
      <c r="BJ3" s="39"/>
      <c r="BK3" s="41"/>
      <c r="BL3" s="39"/>
      <c r="BM3" s="39"/>
      <c r="BN3" s="42"/>
      <c r="BO3" s="39"/>
      <c r="BQ3" s="19"/>
    </row>
    <row r="4" spans="1:69" s="7" customFormat="1" x14ac:dyDescent="0.15">
      <c r="A4" s="16" t="s">
        <v>5</v>
      </c>
      <c r="B4" s="44">
        <v>65.8</v>
      </c>
      <c r="C4" s="44">
        <v>57</v>
      </c>
      <c r="D4" s="44">
        <v>56.6</v>
      </c>
      <c r="E4" s="44">
        <v>44</v>
      </c>
      <c r="F4" s="44">
        <v>41.3</v>
      </c>
      <c r="G4" s="44">
        <v>38.5</v>
      </c>
      <c r="H4" s="44">
        <v>35.1</v>
      </c>
      <c r="I4" s="44">
        <v>33.200000000000003</v>
      </c>
      <c r="J4" s="44">
        <v>26.8</v>
      </c>
      <c r="K4" s="44">
        <v>25.2</v>
      </c>
      <c r="L4" s="44">
        <v>25.5</v>
      </c>
      <c r="M4" s="44">
        <v>22.9</v>
      </c>
      <c r="N4" s="44">
        <v>18.3</v>
      </c>
      <c r="O4" s="44">
        <v>17.7</v>
      </c>
      <c r="P4" s="44">
        <v>16.3</v>
      </c>
      <c r="Q4" s="44">
        <v>15.8</v>
      </c>
      <c r="R4" s="44">
        <v>13.9</v>
      </c>
      <c r="S4" s="44">
        <v>11.8</v>
      </c>
      <c r="T4" s="44">
        <v>10.9</v>
      </c>
      <c r="U4" s="44">
        <v>10.7</v>
      </c>
      <c r="V4" s="44">
        <v>9.8000000000000007</v>
      </c>
      <c r="W4" s="44">
        <v>8.8000000000000007</v>
      </c>
      <c r="X4" s="44">
        <v>7.1</v>
      </c>
      <c r="Y4" s="44">
        <v>6.6</v>
      </c>
      <c r="Z4" s="44">
        <v>5.2</v>
      </c>
      <c r="AA4" s="36">
        <v>5</v>
      </c>
      <c r="AB4" s="44">
        <v>4.5999999999999996</v>
      </c>
      <c r="AC4" s="44">
        <v>3.5</v>
      </c>
      <c r="AD4" s="36">
        <v>3.5</v>
      </c>
      <c r="AE4" s="44">
        <v>3.2</v>
      </c>
      <c r="AF4" s="44">
        <v>3.5</v>
      </c>
      <c r="AG4" s="44">
        <v>2.9</v>
      </c>
      <c r="AH4" s="44">
        <v>2.7</v>
      </c>
      <c r="AI4" s="44">
        <v>2.5</v>
      </c>
      <c r="AJ4" s="44">
        <v>2.2999999999999998</v>
      </c>
      <c r="AK4" s="44">
        <v>2.2000000000000002</v>
      </c>
      <c r="AL4" s="44">
        <v>1.9</v>
      </c>
      <c r="AM4" s="44">
        <v>2.2000000000000002</v>
      </c>
      <c r="AN4" s="44">
        <v>2.1</v>
      </c>
      <c r="AO4" s="23">
        <v>2</v>
      </c>
      <c r="AP4" s="23">
        <v>2</v>
      </c>
      <c r="AQ4" s="4">
        <v>1.3</v>
      </c>
      <c r="AR4" s="23">
        <v>1.4</v>
      </c>
      <c r="AS4" s="23">
        <v>1.6</v>
      </c>
      <c r="AT4" s="23">
        <v>1.6</v>
      </c>
      <c r="AU4" s="23">
        <v>1.2</v>
      </c>
      <c r="AV4" s="23">
        <v>1.5</v>
      </c>
      <c r="AW4" s="23">
        <v>1.4</v>
      </c>
      <c r="AX4" s="4">
        <v>1.6</v>
      </c>
      <c r="AY4" s="4">
        <v>1.3</v>
      </c>
      <c r="AZ4" s="4">
        <v>1.3</v>
      </c>
      <c r="BA4" s="4">
        <v>1.3</v>
      </c>
      <c r="BB4" s="4">
        <v>1.5</v>
      </c>
      <c r="BC4" s="4">
        <v>1.1000000000000001</v>
      </c>
      <c r="BD4" s="4">
        <v>1.4</v>
      </c>
      <c r="BE4" s="4">
        <v>1.3</v>
      </c>
      <c r="BF4" s="4">
        <v>1.2</v>
      </c>
      <c r="BG4" s="23">
        <v>1.1000000000000001</v>
      </c>
      <c r="BH4" s="23">
        <v>1.1000000000000001</v>
      </c>
      <c r="BI4" s="23">
        <v>1.4</v>
      </c>
      <c r="BJ4" s="23">
        <v>0.9</v>
      </c>
      <c r="BK4" s="4">
        <v>1</v>
      </c>
      <c r="BL4" s="23">
        <v>1.2</v>
      </c>
      <c r="BM4" s="4">
        <v>1.3</v>
      </c>
      <c r="BN4" s="4">
        <v>1.4</v>
      </c>
      <c r="BO4" s="4">
        <v>0.8</v>
      </c>
      <c r="BP4" s="55">
        <v>1.1000000000000001</v>
      </c>
      <c r="BQ4" s="66">
        <v>1.2</v>
      </c>
    </row>
    <row r="5" spans="1:69" s="7" customFormat="1" x14ac:dyDescent="0.15">
      <c r="A5" s="16" t="s">
        <v>27</v>
      </c>
      <c r="B5" s="44">
        <v>59.8</v>
      </c>
      <c r="C5" s="44">
        <v>55.9</v>
      </c>
      <c r="D5" s="44">
        <v>56.4</v>
      </c>
      <c r="E5" s="44">
        <v>46.2</v>
      </c>
      <c r="F5" s="44">
        <v>43.8</v>
      </c>
      <c r="G5" s="44">
        <v>37.200000000000003</v>
      </c>
      <c r="H5" s="44">
        <v>33.299999999999997</v>
      </c>
      <c r="I5" s="44">
        <v>33.700000000000003</v>
      </c>
      <c r="J5" s="44">
        <v>24.8</v>
      </c>
      <c r="K5" s="44">
        <v>26.3</v>
      </c>
      <c r="L5" s="44">
        <v>25.8</v>
      </c>
      <c r="M5" s="44">
        <v>24.5</v>
      </c>
      <c r="N5" s="44">
        <v>22</v>
      </c>
      <c r="O5" s="44">
        <v>19.5</v>
      </c>
      <c r="P5" s="44">
        <v>19.899999999999999</v>
      </c>
      <c r="Q5" s="44">
        <v>17.7</v>
      </c>
      <c r="R5" s="44">
        <v>15.2</v>
      </c>
      <c r="S5" s="44">
        <v>16</v>
      </c>
      <c r="T5" s="44">
        <v>14.5</v>
      </c>
      <c r="U5" s="44">
        <v>14.1</v>
      </c>
      <c r="V5" s="44">
        <v>12.7</v>
      </c>
      <c r="W5" s="44">
        <v>10.7</v>
      </c>
      <c r="X5" s="44">
        <v>9.1999999999999993</v>
      </c>
      <c r="Y5" s="44">
        <v>8</v>
      </c>
      <c r="Z5" s="44">
        <v>8.1</v>
      </c>
      <c r="AA5" s="44">
        <v>6.7</v>
      </c>
      <c r="AB5" s="44">
        <v>6.3</v>
      </c>
      <c r="AC5" s="44">
        <v>6.3</v>
      </c>
      <c r="AD5" s="44">
        <v>6.2</v>
      </c>
      <c r="AE5" s="44">
        <v>5.7</v>
      </c>
      <c r="AF5" s="44">
        <v>5</v>
      </c>
      <c r="AG5" s="44">
        <v>4.3</v>
      </c>
      <c r="AH5" s="44">
        <v>4.7</v>
      </c>
      <c r="AI5" s="44">
        <v>3.6</v>
      </c>
      <c r="AJ5" s="44">
        <v>3.4</v>
      </c>
      <c r="AK5" s="44">
        <v>3.8</v>
      </c>
      <c r="AL5" s="44">
        <v>3.9</v>
      </c>
      <c r="AM5" s="44">
        <v>3.7</v>
      </c>
      <c r="AN5" s="44">
        <v>2.7</v>
      </c>
      <c r="AO5" s="23">
        <v>3.2</v>
      </c>
      <c r="AP5" s="23">
        <v>3</v>
      </c>
      <c r="AQ5" s="4">
        <v>3.1</v>
      </c>
      <c r="AR5" s="23">
        <v>1.9</v>
      </c>
      <c r="AS5" s="23">
        <v>1.8</v>
      </c>
      <c r="AT5" s="23">
        <v>1.7</v>
      </c>
      <c r="AU5" s="23">
        <v>2.1</v>
      </c>
      <c r="AV5" s="23">
        <v>1.3</v>
      </c>
      <c r="AW5" s="23">
        <v>1.4</v>
      </c>
      <c r="AX5" s="4">
        <v>1.7</v>
      </c>
      <c r="AY5" s="4">
        <v>1.2</v>
      </c>
      <c r="AZ5" s="4">
        <v>0.9</v>
      </c>
      <c r="BA5" s="4">
        <v>1.2</v>
      </c>
      <c r="BB5" s="4">
        <v>1.1000000000000001</v>
      </c>
      <c r="BC5" s="4">
        <v>2.2000000000000002</v>
      </c>
      <c r="BD5" s="4">
        <v>2</v>
      </c>
      <c r="BE5" s="4">
        <v>1</v>
      </c>
      <c r="BF5" s="4">
        <v>1.8</v>
      </c>
      <c r="BG5" s="23">
        <v>2.2000000000000002</v>
      </c>
      <c r="BH5" s="23">
        <v>1.8</v>
      </c>
      <c r="BI5" s="23">
        <v>1.6</v>
      </c>
      <c r="BJ5" s="23">
        <v>1.5</v>
      </c>
      <c r="BK5" s="4">
        <v>2.2000000000000002</v>
      </c>
      <c r="BL5" s="23">
        <v>2.6</v>
      </c>
      <c r="BM5" s="4">
        <v>1.7</v>
      </c>
      <c r="BN5" s="4">
        <v>2</v>
      </c>
      <c r="BO5" s="4">
        <v>2.2000000000000002</v>
      </c>
      <c r="BP5" s="55">
        <v>1.7</v>
      </c>
      <c r="BQ5" s="66">
        <v>1.6</v>
      </c>
    </row>
    <row r="6" spans="1:69" s="7" customFormat="1" x14ac:dyDescent="0.15">
      <c r="A6" s="16" t="s">
        <v>28</v>
      </c>
      <c r="B6" s="44">
        <v>53.6</v>
      </c>
      <c r="C6" s="44">
        <v>48.1</v>
      </c>
      <c r="D6" s="44">
        <v>43.5</v>
      </c>
      <c r="E6" s="44">
        <v>35.1</v>
      </c>
      <c r="F6" s="44">
        <v>31.8</v>
      </c>
      <c r="G6" s="44">
        <v>29.5</v>
      </c>
      <c r="H6" s="44">
        <v>26.2</v>
      </c>
      <c r="I6" s="44">
        <v>26.5</v>
      </c>
      <c r="J6" s="44">
        <v>22</v>
      </c>
      <c r="K6" s="44">
        <v>22.6</v>
      </c>
      <c r="L6" s="44">
        <v>18.600000000000001</v>
      </c>
      <c r="M6" s="44">
        <v>16</v>
      </c>
      <c r="N6" s="44">
        <v>15.3</v>
      </c>
      <c r="O6" s="44">
        <v>13.9</v>
      </c>
      <c r="P6" s="44">
        <v>13.3</v>
      </c>
      <c r="Q6" s="44">
        <v>14.1</v>
      </c>
      <c r="R6" s="44">
        <v>11</v>
      </c>
      <c r="S6" s="44">
        <v>9.1</v>
      </c>
      <c r="T6" s="44">
        <v>11.2</v>
      </c>
      <c r="U6" s="44">
        <v>10.1</v>
      </c>
      <c r="V6" s="44">
        <v>8.6999999999999993</v>
      </c>
      <c r="W6" s="44">
        <v>9.8000000000000007</v>
      </c>
      <c r="X6" s="44">
        <v>6.6</v>
      </c>
      <c r="Y6" s="44">
        <v>5.9</v>
      </c>
      <c r="Z6" s="44">
        <v>4.4000000000000004</v>
      </c>
      <c r="AA6" s="44">
        <v>5.7</v>
      </c>
      <c r="AB6" s="44">
        <v>4.2</v>
      </c>
      <c r="AC6" s="44">
        <v>4</v>
      </c>
      <c r="AD6" s="44">
        <v>4.3</v>
      </c>
      <c r="AE6" s="44">
        <v>3</v>
      </c>
      <c r="AF6" s="44">
        <v>3.4</v>
      </c>
      <c r="AG6" s="44">
        <v>3</v>
      </c>
      <c r="AH6" s="44">
        <v>2.7</v>
      </c>
      <c r="AI6" s="44">
        <v>2.5</v>
      </c>
      <c r="AJ6" s="44">
        <v>2</v>
      </c>
      <c r="AK6" s="44">
        <v>2</v>
      </c>
      <c r="AL6" s="44">
        <v>1.5</v>
      </c>
      <c r="AM6" s="44">
        <v>1.9</v>
      </c>
      <c r="AN6" s="44">
        <v>2.4</v>
      </c>
      <c r="AO6" s="23">
        <v>2</v>
      </c>
      <c r="AP6" s="23">
        <v>1.7</v>
      </c>
      <c r="AQ6" s="4">
        <v>1.7</v>
      </c>
      <c r="AR6" s="23">
        <v>1.4</v>
      </c>
      <c r="AS6" s="23">
        <v>2.1</v>
      </c>
      <c r="AT6" s="23">
        <v>1.6</v>
      </c>
      <c r="AU6" s="23">
        <v>1.7</v>
      </c>
      <c r="AV6" s="23">
        <v>1.3</v>
      </c>
      <c r="AW6" s="23">
        <v>1</v>
      </c>
      <c r="AX6" s="4">
        <v>1.6</v>
      </c>
      <c r="AY6" s="4">
        <v>1.7</v>
      </c>
      <c r="AZ6" s="4">
        <v>1.7</v>
      </c>
      <c r="BA6" s="4">
        <v>1.5</v>
      </c>
      <c r="BB6" s="4">
        <v>1.2</v>
      </c>
      <c r="BC6" s="4">
        <v>1.4</v>
      </c>
      <c r="BD6" s="4">
        <v>1.1000000000000001</v>
      </c>
      <c r="BE6" s="4">
        <v>1.5</v>
      </c>
      <c r="BF6" s="4">
        <v>1.1000000000000001</v>
      </c>
      <c r="BG6" s="23">
        <v>0.8</v>
      </c>
      <c r="BH6" s="23">
        <v>1</v>
      </c>
      <c r="BI6" s="23">
        <v>0.6</v>
      </c>
      <c r="BJ6" s="23">
        <v>1</v>
      </c>
      <c r="BK6" s="4">
        <v>1.4</v>
      </c>
      <c r="BL6" s="23">
        <v>0.9</v>
      </c>
      <c r="BM6" s="4">
        <v>1.6</v>
      </c>
      <c r="BN6" s="4">
        <v>1.4</v>
      </c>
      <c r="BO6" s="4">
        <v>0.9</v>
      </c>
      <c r="BP6" s="55">
        <v>1.9</v>
      </c>
      <c r="BQ6" s="66">
        <v>1.3</v>
      </c>
    </row>
    <row r="7" spans="1:69" s="7" customFormat="1" x14ac:dyDescent="0.15">
      <c r="A7" s="16" t="s">
        <v>29</v>
      </c>
      <c r="B7" s="44">
        <v>38.4</v>
      </c>
      <c r="C7" s="44">
        <v>34.4</v>
      </c>
      <c r="D7" s="44">
        <v>33.6</v>
      </c>
      <c r="E7" s="44">
        <v>31.1</v>
      </c>
      <c r="F7" s="44">
        <v>27.3</v>
      </c>
      <c r="G7" s="44">
        <v>23.6</v>
      </c>
      <c r="H7" s="44">
        <v>20</v>
      </c>
      <c r="I7" s="44">
        <v>21.6</v>
      </c>
      <c r="J7" s="44">
        <v>18.100000000000001</v>
      </c>
      <c r="K7" s="44">
        <v>16.600000000000001</v>
      </c>
      <c r="L7" s="44">
        <v>16.100000000000001</v>
      </c>
      <c r="M7" s="44">
        <v>12.7</v>
      </c>
      <c r="N7" s="44">
        <v>11.6</v>
      </c>
      <c r="O7" s="44">
        <v>10.8</v>
      </c>
      <c r="P7" s="44">
        <v>8.5</v>
      </c>
      <c r="Q7" s="44">
        <v>9.3000000000000007</v>
      </c>
      <c r="R7" s="44">
        <v>7.3</v>
      </c>
      <c r="S7" s="44">
        <v>6.7</v>
      </c>
      <c r="T7" s="44">
        <v>7.3</v>
      </c>
      <c r="U7" s="44">
        <v>4.7</v>
      </c>
      <c r="V7" s="44">
        <v>5.2</v>
      </c>
      <c r="W7" s="44">
        <v>4.4000000000000004</v>
      </c>
      <c r="X7" s="44">
        <v>4.4000000000000004</v>
      </c>
      <c r="Y7" s="44">
        <v>4.4000000000000004</v>
      </c>
      <c r="Z7" s="44">
        <v>3.2</v>
      </c>
      <c r="AA7" s="44">
        <v>2.8</v>
      </c>
      <c r="AB7" s="44">
        <v>2.2000000000000002</v>
      </c>
      <c r="AC7" s="44">
        <v>2.9</v>
      </c>
      <c r="AD7" s="44">
        <v>1.7</v>
      </c>
      <c r="AE7" s="44">
        <v>2.4</v>
      </c>
      <c r="AF7" s="44">
        <v>2.8</v>
      </c>
      <c r="AG7" s="44">
        <v>2.2999999999999998</v>
      </c>
      <c r="AH7" s="44">
        <v>2</v>
      </c>
      <c r="AI7" s="44">
        <v>2.1</v>
      </c>
      <c r="AJ7" s="44">
        <v>1.8</v>
      </c>
      <c r="AK7" s="44">
        <v>1.8</v>
      </c>
      <c r="AL7" s="44">
        <v>1.3</v>
      </c>
      <c r="AM7" s="44">
        <v>1.5</v>
      </c>
      <c r="AN7" s="44">
        <v>1.6</v>
      </c>
      <c r="AO7" s="23">
        <v>1.6</v>
      </c>
      <c r="AP7" s="23">
        <v>1.9</v>
      </c>
      <c r="AQ7" s="4">
        <v>1.5</v>
      </c>
      <c r="AR7" s="23">
        <v>1.7</v>
      </c>
      <c r="AS7" s="23">
        <v>1.6</v>
      </c>
      <c r="AT7" s="23">
        <v>1.1000000000000001</v>
      </c>
      <c r="AU7" s="23">
        <v>1.1000000000000001</v>
      </c>
      <c r="AV7" s="23">
        <v>1</v>
      </c>
      <c r="AW7" s="23">
        <v>1.5</v>
      </c>
      <c r="AX7" s="4">
        <v>0.9</v>
      </c>
      <c r="AY7" s="4">
        <v>0.9</v>
      </c>
      <c r="AZ7" s="4">
        <v>1</v>
      </c>
      <c r="BA7" s="4">
        <v>1.2</v>
      </c>
      <c r="BB7" s="4">
        <v>1.5</v>
      </c>
      <c r="BC7" s="4">
        <v>1.3</v>
      </c>
      <c r="BD7" s="4">
        <v>1.2</v>
      </c>
      <c r="BE7" s="4">
        <v>1.3</v>
      </c>
      <c r="BF7" s="4">
        <v>0.9</v>
      </c>
      <c r="BG7" s="23">
        <v>1.3</v>
      </c>
      <c r="BH7" s="23">
        <v>0.9</v>
      </c>
      <c r="BI7" s="23">
        <v>1.1000000000000001</v>
      </c>
      <c r="BJ7" s="23">
        <v>1</v>
      </c>
      <c r="BK7" s="4">
        <v>1.1000000000000001</v>
      </c>
      <c r="BL7" s="23">
        <v>0.9</v>
      </c>
      <c r="BM7" s="4">
        <v>1.3</v>
      </c>
      <c r="BN7" s="4">
        <v>0.7</v>
      </c>
      <c r="BO7" s="4">
        <v>0.9</v>
      </c>
      <c r="BP7" s="55">
        <v>0.9</v>
      </c>
      <c r="BQ7" s="66">
        <v>1.2</v>
      </c>
    </row>
    <row r="8" spans="1:69" s="7" customFormat="1" x14ac:dyDescent="0.15">
      <c r="A8" s="16" t="s">
        <v>30</v>
      </c>
      <c r="B8" s="44">
        <v>43.1</v>
      </c>
      <c r="C8" s="44">
        <v>36.6</v>
      </c>
      <c r="D8" s="44">
        <v>36.4</v>
      </c>
      <c r="E8" s="44">
        <v>31.5</v>
      </c>
      <c r="F8" s="44">
        <v>25.6</v>
      </c>
      <c r="G8" s="44">
        <v>24.6</v>
      </c>
      <c r="H8" s="44">
        <v>25.1</v>
      </c>
      <c r="I8" s="44">
        <v>22.4</v>
      </c>
      <c r="J8" s="44">
        <v>17.600000000000001</v>
      </c>
      <c r="K8" s="44">
        <v>17.399999999999999</v>
      </c>
      <c r="L8" s="44">
        <v>17.600000000000001</v>
      </c>
      <c r="M8" s="44">
        <v>11.9</v>
      </c>
      <c r="N8" s="44">
        <v>11.3</v>
      </c>
      <c r="O8" s="44">
        <v>12.6</v>
      </c>
      <c r="P8" s="44">
        <v>9.9</v>
      </c>
      <c r="Q8" s="44">
        <v>11.1</v>
      </c>
      <c r="R8" s="44">
        <v>8.1</v>
      </c>
      <c r="S8" s="44">
        <v>8.1999999999999993</v>
      </c>
      <c r="T8" s="44">
        <v>11</v>
      </c>
      <c r="U8" s="44">
        <v>7.4</v>
      </c>
      <c r="V8" s="44">
        <v>5.7</v>
      </c>
      <c r="W8" s="44">
        <v>5</v>
      </c>
      <c r="X8" s="44">
        <v>4.2</v>
      </c>
      <c r="Y8" s="44">
        <v>4.2</v>
      </c>
      <c r="Z8" s="44">
        <v>3.4</v>
      </c>
      <c r="AA8" s="44">
        <v>3.7</v>
      </c>
      <c r="AB8" s="44">
        <v>2.7</v>
      </c>
      <c r="AC8" s="44">
        <v>3.1</v>
      </c>
      <c r="AD8" s="44">
        <v>2.2000000000000002</v>
      </c>
      <c r="AE8" s="44">
        <v>2.9</v>
      </c>
      <c r="AF8" s="44">
        <v>2.7</v>
      </c>
      <c r="AG8" s="44">
        <v>3.2</v>
      </c>
      <c r="AH8" s="44">
        <v>3.2</v>
      </c>
      <c r="AI8" s="44">
        <v>2.6</v>
      </c>
      <c r="AJ8" s="44">
        <v>3.1</v>
      </c>
      <c r="AK8" s="44">
        <v>4</v>
      </c>
      <c r="AL8" s="44">
        <v>3.5</v>
      </c>
      <c r="AM8" s="44">
        <v>2</v>
      </c>
      <c r="AN8" s="44">
        <v>2.9</v>
      </c>
      <c r="AO8" s="23">
        <v>2.1</v>
      </c>
      <c r="AP8" s="23">
        <v>2.2000000000000002</v>
      </c>
      <c r="AQ8" s="4">
        <v>2</v>
      </c>
      <c r="AR8" s="23">
        <v>1.7</v>
      </c>
      <c r="AS8" s="23">
        <v>2.4</v>
      </c>
      <c r="AT8" s="23">
        <v>1</v>
      </c>
      <c r="AU8" s="23">
        <v>1.2</v>
      </c>
      <c r="AV8" s="23">
        <v>1.1000000000000001</v>
      </c>
      <c r="AW8" s="23">
        <v>0.9</v>
      </c>
      <c r="AX8" s="4">
        <v>1</v>
      </c>
      <c r="AY8" s="4">
        <v>1.7</v>
      </c>
      <c r="AZ8" s="4">
        <v>1.4</v>
      </c>
      <c r="BA8" s="4">
        <v>2.2000000000000002</v>
      </c>
      <c r="BB8" s="4">
        <v>1.3</v>
      </c>
      <c r="BC8" s="4">
        <v>1.7</v>
      </c>
      <c r="BD8" s="4">
        <v>1</v>
      </c>
      <c r="BE8" s="4">
        <v>1.5</v>
      </c>
      <c r="BF8" s="4">
        <v>1.3</v>
      </c>
      <c r="BG8" s="23">
        <v>0.9</v>
      </c>
      <c r="BH8" s="23">
        <v>2.2999999999999998</v>
      </c>
      <c r="BI8" s="23">
        <v>1.4</v>
      </c>
      <c r="BJ8" s="23">
        <v>0.7</v>
      </c>
      <c r="BK8" s="4">
        <v>0.7</v>
      </c>
      <c r="BL8" s="23">
        <v>1.7</v>
      </c>
      <c r="BM8" s="4">
        <v>1.9</v>
      </c>
      <c r="BN8" s="4">
        <v>1.2</v>
      </c>
      <c r="BO8" s="4">
        <v>1.6</v>
      </c>
      <c r="BP8" s="55">
        <v>1.3</v>
      </c>
      <c r="BQ8" s="66">
        <v>1.1000000000000001</v>
      </c>
    </row>
    <row r="9" spans="1:69" s="7" customFormat="1" x14ac:dyDescent="0.15">
      <c r="A9" s="16" t="s">
        <v>31</v>
      </c>
      <c r="B9" s="44">
        <v>40.6</v>
      </c>
      <c r="C9" s="44">
        <v>36.1</v>
      </c>
      <c r="D9" s="44">
        <v>35.9</v>
      </c>
      <c r="E9" s="44">
        <v>28.5</v>
      </c>
      <c r="F9" s="44">
        <v>25.7</v>
      </c>
      <c r="G9" s="44">
        <v>23.4</v>
      </c>
      <c r="H9" s="44">
        <v>22.5</v>
      </c>
      <c r="I9" s="44">
        <v>20.7</v>
      </c>
      <c r="J9" s="44">
        <v>16.3</v>
      </c>
      <c r="K9" s="44">
        <v>16.3</v>
      </c>
      <c r="L9" s="44">
        <v>18.399999999999999</v>
      </c>
      <c r="M9" s="44">
        <v>13.9</v>
      </c>
      <c r="N9" s="44">
        <v>11.9</v>
      </c>
      <c r="O9" s="44">
        <v>12.3</v>
      </c>
      <c r="P9" s="44">
        <v>11.5</v>
      </c>
      <c r="Q9" s="44">
        <v>9.8000000000000007</v>
      </c>
      <c r="R9" s="44">
        <v>9.1</v>
      </c>
      <c r="S9" s="44">
        <v>9.3000000000000007</v>
      </c>
      <c r="T9" s="44">
        <v>8.1999999999999993</v>
      </c>
      <c r="U9" s="44">
        <v>7.5</v>
      </c>
      <c r="V9" s="44">
        <v>7.5</v>
      </c>
      <c r="W9" s="44">
        <v>6.2</v>
      </c>
      <c r="X9" s="44">
        <v>5.4</v>
      </c>
      <c r="Y9" s="44">
        <v>5.0999999999999996</v>
      </c>
      <c r="Z9" s="44">
        <v>4</v>
      </c>
      <c r="AA9" s="44">
        <v>3.8</v>
      </c>
      <c r="AB9" s="44">
        <v>3.3</v>
      </c>
      <c r="AC9" s="44">
        <v>2.6</v>
      </c>
      <c r="AD9" s="44">
        <v>3.2</v>
      </c>
      <c r="AE9" s="44">
        <v>2.6</v>
      </c>
      <c r="AF9" s="44">
        <v>2.2000000000000002</v>
      </c>
      <c r="AG9" s="44">
        <v>2.2000000000000002</v>
      </c>
      <c r="AH9" s="44">
        <v>2.5</v>
      </c>
      <c r="AI9" s="44">
        <v>1.3</v>
      </c>
      <c r="AJ9" s="44">
        <v>2.4</v>
      </c>
      <c r="AK9" s="44">
        <v>2.5</v>
      </c>
      <c r="AL9" s="44">
        <v>2.2999999999999998</v>
      </c>
      <c r="AM9" s="44">
        <v>1.4</v>
      </c>
      <c r="AN9" s="44">
        <v>0.9</v>
      </c>
      <c r="AO9" s="23">
        <v>1.4</v>
      </c>
      <c r="AP9" s="23">
        <v>1.9</v>
      </c>
      <c r="AQ9" s="4">
        <v>2.6</v>
      </c>
      <c r="AR9" s="23">
        <v>1.5</v>
      </c>
      <c r="AS9" s="23">
        <v>1.4</v>
      </c>
      <c r="AT9" s="23">
        <v>1.7</v>
      </c>
      <c r="AU9" s="23">
        <v>1.8</v>
      </c>
      <c r="AV9" s="23">
        <v>1.4</v>
      </c>
      <c r="AW9" s="23">
        <v>1.2</v>
      </c>
      <c r="AX9" s="4">
        <v>1.6</v>
      </c>
      <c r="AY9" s="4">
        <v>2</v>
      </c>
      <c r="AZ9" s="4">
        <v>1.7</v>
      </c>
      <c r="BA9" s="4">
        <v>2.2000000000000002</v>
      </c>
      <c r="BB9" s="4">
        <v>1.4</v>
      </c>
      <c r="BC9" s="4">
        <v>1.4</v>
      </c>
      <c r="BD9" s="4">
        <v>1.1000000000000001</v>
      </c>
      <c r="BE9" s="4">
        <v>1.3</v>
      </c>
      <c r="BF9" s="4">
        <v>1.6</v>
      </c>
      <c r="BG9" s="23">
        <v>1.4</v>
      </c>
      <c r="BH9" s="23">
        <v>1.6</v>
      </c>
      <c r="BI9" s="23">
        <v>2.1</v>
      </c>
      <c r="BJ9" s="23">
        <v>1.4</v>
      </c>
      <c r="BK9" s="4">
        <v>1.3</v>
      </c>
      <c r="BL9" s="23">
        <v>1.1000000000000001</v>
      </c>
      <c r="BM9" s="4">
        <v>0.8</v>
      </c>
      <c r="BN9" s="4">
        <v>1.2</v>
      </c>
      <c r="BO9" s="4">
        <v>0.9</v>
      </c>
      <c r="BP9" s="55">
        <v>1.2</v>
      </c>
      <c r="BQ9" s="66">
        <v>1.5</v>
      </c>
    </row>
    <row r="10" spans="1:69" s="7" customFormat="1" x14ac:dyDescent="0.15">
      <c r="A10" s="16" t="s">
        <v>32</v>
      </c>
      <c r="B10" s="44">
        <v>41.9</v>
      </c>
      <c r="C10" s="44">
        <v>37.5</v>
      </c>
      <c r="D10" s="44">
        <v>33.9</v>
      </c>
      <c r="E10" s="44">
        <v>28.7</v>
      </c>
      <c r="F10" s="44">
        <v>23.5</v>
      </c>
      <c r="G10" s="44">
        <v>25.9</v>
      </c>
      <c r="H10" s="44">
        <v>18.899999999999999</v>
      </c>
      <c r="I10" s="44">
        <v>20.8</v>
      </c>
      <c r="J10" s="44">
        <v>16.7</v>
      </c>
      <c r="K10" s="44">
        <v>16.8</v>
      </c>
      <c r="L10" s="44">
        <v>16.100000000000001</v>
      </c>
      <c r="M10" s="44">
        <v>13.9</v>
      </c>
      <c r="N10" s="44">
        <v>12.1</v>
      </c>
      <c r="O10" s="44">
        <v>12.5</v>
      </c>
      <c r="P10" s="44">
        <v>11.5</v>
      </c>
      <c r="Q10" s="44">
        <v>11.8</v>
      </c>
      <c r="R10" s="44">
        <v>9.1999999999999993</v>
      </c>
      <c r="S10" s="44">
        <v>9.9</v>
      </c>
      <c r="T10" s="44">
        <v>9.1999999999999993</v>
      </c>
      <c r="U10" s="44">
        <v>8.4</v>
      </c>
      <c r="V10" s="44">
        <v>8.1999999999999993</v>
      </c>
      <c r="W10" s="44">
        <v>7.2</v>
      </c>
      <c r="X10" s="44">
        <v>6.6</v>
      </c>
      <c r="Y10" s="44">
        <v>6.4</v>
      </c>
      <c r="Z10" s="44">
        <v>4.9000000000000004</v>
      </c>
      <c r="AA10" s="44">
        <v>5.0999999999999996</v>
      </c>
      <c r="AB10" s="44">
        <v>4.0999999999999996</v>
      </c>
      <c r="AC10" s="44">
        <v>3.6</v>
      </c>
      <c r="AD10" s="44">
        <v>4.0999999999999996</v>
      </c>
      <c r="AE10" s="44">
        <v>3.4</v>
      </c>
      <c r="AF10" s="44">
        <v>3.7</v>
      </c>
      <c r="AG10" s="44">
        <v>3.7</v>
      </c>
      <c r="AH10" s="44">
        <v>3.9</v>
      </c>
      <c r="AI10" s="44">
        <v>3.8</v>
      </c>
      <c r="AJ10" s="44">
        <v>2.5</v>
      </c>
      <c r="AK10" s="44">
        <v>3</v>
      </c>
      <c r="AL10" s="44">
        <v>1.9</v>
      </c>
      <c r="AM10" s="44">
        <v>3</v>
      </c>
      <c r="AN10" s="44">
        <v>2.8</v>
      </c>
      <c r="AO10" s="23">
        <v>2.2000000000000002</v>
      </c>
      <c r="AP10" s="23">
        <v>2.4</v>
      </c>
      <c r="AQ10" s="4">
        <v>1.6</v>
      </c>
      <c r="AR10" s="23">
        <v>1.6</v>
      </c>
      <c r="AS10" s="23">
        <v>1.2</v>
      </c>
      <c r="AT10" s="23">
        <v>1.9</v>
      </c>
      <c r="AU10" s="23">
        <v>1.8</v>
      </c>
      <c r="AV10" s="23">
        <v>2</v>
      </c>
      <c r="AW10" s="23">
        <v>1.7</v>
      </c>
      <c r="AX10" s="4">
        <v>1.2</v>
      </c>
      <c r="AY10" s="4">
        <v>1.5</v>
      </c>
      <c r="AZ10" s="4">
        <v>1.3</v>
      </c>
      <c r="BA10" s="4">
        <v>1.2</v>
      </c>
      <c r="BB10" s="4">
        <v>1.3</v>
      </c>
      <c r="BC10" s="4">
        <v>1.2</v>
      </c>
      <c r="BD10" s="4">
        <v>1.3</v>
      </c>
      <c r="BE10" s="4">
        <v>1.1000000000000001</v>
      </c>
      <c r="BF10" s="4">
        <v>1.1000000000000001</v>
      </c>
      <c r="BG10" s="23">
        <v>0.6</v>
      </c>
      <c r="BH10" s="23">
        <v>1.5</v>
      </c>
      <c r="BI10" s="23">
        <v>1</v>
      </c>
      <c r="BJ10" s="23">
        <v>1.5</v>
      </c>
      <c r="BK10" s="4">
        <v>1</v>
      </c>
      <c r="BL10" s="23">
        <v>1.8</v>
      </c>
      <c r="BM10" s="4">
        <v>1.6</v>
      </c>
      <c r="BN10" s="4">
        <v>1.4</v>
      </c>
      <c r="BO10" s="4">
        <v>0.8</v>
      </c>
      <c r="BP10" s="55">
        <v>1.2</v>
      </c>
      <c r="BQ10" s="66">
        <v>0.9</v>
      </c>
    </row>
    <row r="11" spans="1:69" s="7" customFormat="1" x14ac:dyDescent="0.15">
      <c r="A11" s="16" t="s">
        <v>33</v>
      </c>
      <c r="B11" s="44">
        <v>36.200000000000003</v>
      </c>
      <c r="C11" s="44">
        <v>35</v>
      </c>
      <c r="D11" s="44">
        <v>30.7</v>
      </c>
      <c r="E11" s="44">
        <v>25.8</v>
      </c>
      <c r="F11" s="44">
        <v>23</v>
      </c>
      <c r="G11" s="44">
        <v>23.8</v>
      </c>
      <c r="H11" s="44">
        <v>22.9</v>
      </c>
      <c r="I11" s="44">
        <v>19.100000000000001</v>
      </c>
      <c r="J11" s="44">
        <v>17.100000000000001</v>
      </c>
      <c r="K11" s="44">
        <v>14.1</v>
      </c>
      <c r="L11" s="44">
        <v>16.100000000000001</v>
      </c>
      <c r="M11" s="44">
        <v>13.6</v>
      </c>
      <c r="N11" s="44">
        <v>11.7</v>
      </c>
      <c r="O11" s="44">
        <v>12.1</v>
      </c>
      <c r="P11" s="44">
        <v>10</v>
      </c>
      <c r="Q11" s="44">
        <v>10.9</v>
      </c>
      <c r="R11" s="44">
        <v>8</v>
      </c>
      <c r="S11" s="44">
        <v>8.4</v>
      </c>
      <c r="T11" s="44">
        <v>7.1</v>
      </c>
      <c r="U11" s="44">
        <v>6.3</v>
      </c>
      <c r="V11" s="44">
        <v>5.6</v>
      </c>
      <c r="W11" s="44">
        <v>4.9000000000000004</v>
      </c>
      <c r="X11" s="44">
        <v>4.5</v>
      </c>
      <c r="Y11" s="44">
        <v>4.2</v>
      </c>
      <c r="Z11" s="44">
        <v>4.2</v>
      </c>
      <c r="AA11" s="44">
        <v>3.7</v>
      </c>
      <c r="AB11" s="44">
        <v>3.3</v>
      </c>
      <c r="AC11" s="44">
        <v>2.8</v>
      </c>
      <c r="AD11" s="44">
        <v>2.8</v>
      </c>
      <c r="AE11" s="44">
        <v>2.8</v>
      </c>
      <c r="AF11" s="44">
        <v>2.9</v>
      </c>
      <c r="AG11" s="44">
        <v>2.2000000000000002</v>
      </c>
      <c r="AH11" s="44">
        <v>2.5</v>
      </c>
      <c r="AI11" s="44">
        <v>2.4</v>
      </c>
      <c r="AJ11" s="44">
        <v>2.2000000000000002</v>
      </c>
      <c r="AK11" s="44">
        <v>2.2000000000000002</v>
      </c>
      <c r="AL11" s="44">
        <v>1.8</v>
      </c>
      <c r="AM11" s="44">
        <v>1.2</v>
      </c>
      <c r="AN11" s="44">
        <v>1.8</v>
      </c>
      <c r="AO11" s="23">
        <v>1.3</v>
      </c>
      <c r="AP11" s="23">
        <v>1.9</v>
      </c>
      <c r="AQ11" s="4">
        <v>1.7</v>
      </c>
      <c r="AR11" s="23">
        <v>2.2999999999999998</v>
      </c>
      <c r="AS11" s="23">
        <v>1.5</v>
      </c>
      <c r="AT11" s="23">
        <v>1.7</v>
      </c>
      <c r="AU11" s="23">
        <v>1.3</v>
      </c>
      <c r="AV11" s="23">
        <v>1</v>
      </c>
      <c r="AW11" s="23">
        <v>1.5</v>
      </c>
      <c r="AX11" s="4">
        <v>1.1000000000000001</v>
      </c>
      <c r="AY11" s="4">
        <v>1.5</v>
      </c>
      <c r="AZ11" s="4">
        <v>1</v>
      </c>
      <c r="BA11" s="4">
        <v>1.4</v>
      </c>
      <c r="BB11" s="4">
        <v>1.4</v>
      </c>
      <c r="BC11" s="4">
        <v>1.2</v>
      </c>
      <c r="BD11" s="4">
        <v>1.1000000000000001</v>
      </c>
      <c r="BE11" s="4">
        <v>1.6</v>
      </c>
      <c r="BF11" s="4">
        <v>1.7</v>
      </c>
      <c r="BG11" s="23">
        <v>1.5</v>
      </c>
      <c r="BH11" s="23">
        <v>1.6</v>
      </c>
      <c r="BI11" s="23">
        <v>1.6</v>
      </c>
      <c r="BJ11" s="23">
        <v>1.6</v>
      </c>
      <c r="BK11" s="4">
        <v>1.2</v>
      </c>
      <c r="BL11" s="23">
        <v>2</v>
      </c>
      <c r="BM11" s="4">
        <v>2.2000000000000002</v>
      </c>
      <c r="BN11" s="4">
        <v>1.5</v>
      </c>
      <c r="BO11" s="4">
        <v>1.6</v>
      </c>
      <c r="BP11" s="55">
        <v>1.1000000000000001</v>
      </c>
      <c r="BQ11" s="66">
        <v>1.6</v>
      </c>
    </row>
    <row r="12" spans="1:69" s="7" customFormat="1" x14ac:dyDescent="0.15">
      <c r="A12" s="16" t="s">
        <v>34</v>
      </c>
      <c r="B12" s="44">
        <v>39</v>
      </c>
      <c r="C12" s="44">
        <v>34.4</v>
      </c>
      <c r="D12" s="44">
        <v>32.6</v>
      </c>
      <c r="E12" s="44">
        <v>28.1</v>
      </c>
      <c r="F12" s="44">
        <v>27.6</v>
      </c>
      <c r="G12" s="44">
        <v>22.7</v>
      </c>
      <c r="H12" s="44">
        <v>22.9</v>
      </c>
      <c r="I12" s="44">
        <v>22.1</v>
      </c>
      <c r="J12" s="44">
        <v>18.399999999999999</v>
      </c>
      <c r="K12" s="44">
        <v>18.5</v>
      </c>
      <c r="L12" s="44">
        <v>16.2</v>
      </c>
      <c r="M12" s="44">
        <v>16.5</v>
      </c>
      <c r="N12" s="44">
        <v>13.6</v>
      </c>
      <c r="O12" s="44">
        <v>13.2</v>
      </c>
      <c r="P12" s="44">
        <v>11.7</v>
      </c>
      <c r="Q12" s="44">
        <v>13.1</v>
      </c>
      <c r="R12" s="44">
        <v>11.7</v>
      </c>
      <c r="S12" s="44">
        <v>9.4</v>
      </c>
      <c r="T12" s="44">
        <v>7.8</v>
      </c>
      <c r="U12" s="44">
        <v>8.6999999999999993</v>
      </c>
      <c r="V12" s="44">
        <v>7.9</v>
      </c>
      <c r="W12" s="44">
        <v>6.9</v>
      </c>
      <c r="X12" s="44">
        <v>5.9</v>
      </c>
      <c r="Y12" s="44">
        <v>7.2</v>
      </c>
      <c r="Z12" s="44">
        <v>5</v>
      </c>
      <c r="AA12" s="44">
        <v>4</v>
      </c>
      <c r="AB12" s="44">
        <v>3.3</v>
      </c>
      <c r="AC12" s="44">
        <v>3.9</v>
      </c>
      <c r="AD12" s="44">
        <v>3.4</v>
      </c>
      <c r="AE12" s="44">
        <v>3.2</v>
      </c>
      <c r="AF12" s="44">
        <v>3.8</v>
      </c>
      <c r="AG12" s="44">
        <v>4.0999999999999996</v>
      </c>
      <c r="AH12" s="44">
        <v>2.2999999999999998</v>
      </c>
      <c r="AI12" s="44">
        <v>3.1</v>
      </c>
      <c r="AJ12" s="44">
        <v>2.7</v>
      </c>
      <c r="AK12" s="44">
        <v>2.9</v>
      </c>
      <c r="AL12" s="44">
        <v>1.5</v>
      </c>
      <c r="AM12" s="44">
        <v>2.1</v>
      </c>
      <c r="AN12" s="44">
        <v>2</v>
      </c>
      <c r="AO12" s="23">
        <v>1.6</v>
      </c>
      <c r="AP12" s="23">
        <v>1.9</v>
      </c>
      <c r="AQ12" s="4">
        <v>2.2999999999999998</v>
      </c>
      <c r="AR12" s="23">
        <v>1.3</v>
      </c>
      <c r="AS12" s="23">
        <v>1.5</v>
      </c>
      <c r="AT12" s="23">
        <v>1.8</v>
      </c>
      <c r="AU12" s="23">
        <v>2</v>
      </c>
      <c r="AV12" s="23">
        <v>1.6</v>
      </c>
      <c r="AW12" s="23">
        <v>1.5</v>
      </c>
      <c r="AX12" s="4">
        <v>1.8</v>
      </c>
      <c r="AY12" s="4">
        <v>1.8</v>
      </c>
      <c r="AZ12" s="4">
        <v>2.1</v>
      </c>
      <c r="BA12" s="4">
        <v>1.6</v>
      </c>
      <c r="BB12" s="4">
        <v>1.4</v>
      </c>
      <c r="BC12" s="4">
        <v>1</v>
      </c>
      <c r="BD12" s="4">
        <v>1.8</v>
      </c>
      <c r="BE12" s="4">
        <v>0.8</v>
      </c>
      <c r="BF12" s="4">
        <v>0.8</v>
      </c>
      <c r="BG12" s="23">
        <v>1.5</v>
      </c>
      <c r="BH12" s="23">
        <v>0.7</v>
      </c>
      <c r="BI12" s="23">
        <v>1.6</v>
      </c>
      <c r="BJ12" s="23">
        <v>1.1000000000000001</v>
      </c>
      <c r="BK12" s="4">
        <v>1.5</v>
      </c>
      <c r="BL12" s="23">
        <v>1.6</v>
      </c>
      <c r="BM12" s="4">
        <v>1.5</v>
      </c>
      <c r="BN12" s="4">
        <v>1.6</v>
      </c>
      <c r="BO12" s="4">
        <v>1.9</v>
      </c>
      <c r="BP12" s="55">
        <v>1.6</v>
      </c>
      <c r="BQ12" s="66">
        <v>1.2</v>
      </c>
    </row>
    <row r="13" spans="1:69" s="7" customFormat="1" x14ac:dyDescent="0.15">
      <c r="A13" s="16" t="s">
        <v>35</v>
      </c>
      <c r="B13" s="44">
        <v>35.299999999999997</v>
      </c>
      <c r="C13" s="44">
        <v>30.5</v>
      </c>
      <c r="D13" s="44">
        <v>32.5</v>
      </c>
      <c r="E13" s="44">
        <v>26</v>
      </c>
      <c r="F13" s="44">
        <v>25.3</v>
      </c>
      <c r="G13" s="44">
        <v>24.3</v>
      </c>
      <c r="H13" s="44">
        <v>18.600000000000001</v>
      </c>
      <c r="I13" s="44">
        <v>19.600000000000001</v>
      </c>
      <c r="J13" s="44">
        <v>16.7</v>
      </c>
      <c r="K13" s="44">
        <v>17.399999999999999</v>
      </c>
      <c r="L13" s="44">
        <v>14.6</v>
      </c>
      <c r="M13" s="44">
        <v>14.7</v>
      </c>
      <c r="N13" s="44">
        <v>12.1</v>
      </c>
      <c r="O13" s="44">
        <v>11.4</v>
      </c>
      <c r="P13" s="44">
        <v>10.3</v>
      </c>
      <c r="Q13" s="44">
        <v>10</v>
      </c>
      <c r="R13" s="44">
        <v>8.8000000000000007</v>
      </c>
      <c r="S13" s="44">
        <v>6.6</v>
      </c>
      <c r="T13" s="44">
        <v>7.1</v>
      </c>
      <c r="U13" s="44">
        <v>6.4</v>
      </c>
      <c r="V13" s="44">
        <v>6.1</v>
      </c>
      <c r="W13" s="44">
        <v>5.6</v>
      </c>
      <c r="X13" s="44">
        <v>5</v>
      </c>
      <c r="Y13" s="44">
        <v>4.8</v>
      </c>
      <c r="Z13" s="44">
        <v>3.4</v>
      </c>
      <c r="AA13" s="44">
        <v>3.5</v>
      </c>
      <c r="AB13" s="44">
        <v>2.8</v>
      </c>
      <c r="AC13" s="44">
        <v>3.1</v>
      </c>
      <c r="AD13" s="44">
        <v>3.5</v>
      </c>
      <c r="AE13" s="44">
        <v>3.9</v>
      </c>
      <c r="AF13" s="44">
        <v>2.9</v>
      </c>
      <c r="AG13" s="44">
        <v>2.4</v>
      </c>
      <c r="AH13" s="44">
        <v>2.7</v>
      </c>
      <c r="AI13" s="44">
        <v>2.4</v>
      </c>
      <c r="AJ13" s="44">
        <v>2.7</v>
      </c>
      <c r="AK13" s="44">
        <v>2.4</v>
      </c>
      <c r="AL13" s="44">
        <v>1.7</v>
      </c>
      <c r="AM13" s="44">
        <v>2</v>
      </c>
      <c r="AN13" s="44">
        <v>2.1</v>
      </c>
      <c r="AO13" s="23">
        <v>2.4</v>
      </c>
      <c r="AP13" s="23">
        <v>1.5</v>
      </c>
      <c r="AQ13" s="4">
        <v>1.9</v>
      </c>
      <c r="AR13" s="23">
        <v>1.9</v>
      </c>
      <c r="AS13" s="23">
        <v>2.2000000000000002</v>
      </c>
      <c r="AT13" s="23">
        <v>2.2999999999999998</v>
      </c>
      <c r="AU13" s="23">
        <v>1.7</v>
      </c>
      <c r="AV13" s="23">
        <v>2.1</v>
      </c>
      <c r="AW13" s="23">
        <v>1.5</v>
      </c>
      <c r="AX13" s="4">
        <v>2</v>
      </c>
      <c r="AY13" s="4">
        <v>1.9</v>
      </c>
      <c r="AZ13" s="4">
        <v>1.4</v>
      </c>
      <c r="BA13" s="4">
        <v>1.4</v>
      </c>
      <c r="BB13" s="4">
        <v>1.4</v>
      </c>
      <c r="BC13" s="4">
        <v>1.6</v>
      </c>
      <c r="BD13" s="4">
        <v>1.6</v>
      </c>
      <c r="BE13" s="4">
        <v>1.8</v>
      </c>
      <c r="BF13" s="4">
        <v>1.7</v>
      </c>
      <c r="BG13" s="23">
        <v>1.2</v>
      </c>
      <c r="BH13" s="23">
        <v>1.7</v>
      </c>
      <c r="BI13" s="23">
        <v>1.9</v>
      </c>
      <c r="BJ13" s="23">
        <v>0.9</v>
      </c>
      <c r="BK13" s="4">
        <v>1.2</v>
      </c>
      <c r="BL13" s="23">
        <v>1.5</v>
      </c>
      <c r="BM13" s="4">
        <v>1.2</v>
      </c>
      <c r="BN13" s="4">
        <v>1.3</v>
      </c>
      <c r="BO13" s="4">
        <v>1</v>
      </c>
      <c r="BP13" s="55">
        <v>0.9</v>
      </c>
      <c r="BQ13" s="66">
        <v>0.9</v>
      </c>
    </row>
    <row r="14" spans="1:69" s="7" customFormat="1" x14ac:dyDescent="0.15">
      <c r="A14" s="16" t="s">
        <v>36</v>
      </c>
      <c r="B14" s="44">
        <v>43.8</v>
      </c>
      <c r="C14" s="44">
        <v>36.799999999999997</v>
      </c>
      <c r="D14" s="44">
        <v>35.6</v>
      </c>
      <c r="E14" s="44">
        <v>30.5</v>
      </c>
      <c r="F14" s="44">
        <v>24.9</v>
      </c>
      <c r="G14" s="44">
        <v>24.6</v>
      </c>
      <c r="H14" s="44">
        <v>20.5</v>
      </c>
      <c r="I14" s="44">
        <v>19.899999999999999</v>
      </c>
      <c r="J14" s="44">
        <v>15.6</v>
      </c>
      <c r="K14" s="44">
        <v>16.899999999999999</v>
      </c>
      <c r="L14" s="44">
        <v>13.8</v>
      </c>
      <c r="M14" s="44">
        <v>14.3</v>
      </c>
      <c r="N14" s="44">
        <v>10.4</v>
      </c>
      <c r="O14" s="44">
        <v>11.2</v>
      </c>
      <c r="P14" s="44">
        <v>10.6</v>
      </c>
      <c r="Q14" s="44">
        <v>8.8000000000000007</v>
      </c>
      <c r="R14" s="44">
        <v>7.5</v>
      </c>
      <c r="S14" s="44">
        <v>6.6</v>
      </c>
      <c r="T14" s="44">
        <v>6.8</v>
      </c>
      <c r="U14" s="44">
        <v>6.1</v>
      </c>
      <c r="V14" s="44">
        <v>5.5</v>
      </c>
      <c r="W14" s="44">
        <v>4.5999999999999996</v>
      </c>
      <c r="X14" s="44">
        <v>4.7</v>
      </c>
      <c r="Y14" s="44">
        <v>4.5999999999999996</v>
      </c>
      <c r="Z14" s="44">
        <v>3.1</v>
      </c>
      <c r="AA14" s="44">
        <v>3.1</v>
      </c>
      <c r="AB14" s="44">
        <v>3</v>
      </c>
      <c r="AC14" s="44">
        <v>2.9</v>
      </c>
      <c r="AD14" s="44">
        <v>3</v>
      </c>
      <c r="AE14" s="44">
        <v>2.9</v>
      </c>
      <c r="AF14" s="44">
        <v>2.2999999999999998</v>
      </c>
      <c r="AG14" s="44">
        <v>2.2999999999999998</v>
      </c>
      <c r="AH14" s="44">
        <v>2.1</v>
      </c>
      <c r="AI14" s="44">
        <v>2</v>
      </c>
      <c r="AJ14" s="44">
        <v>1.8</v>
      </c>
      <c r="AK14" s="44">
        <v>1.8</v>
      </c>
      <c r="AL14" s="44">
        <v>1.9</v>
      </c>
      <c r="AM14" s="44">
        <v>1.9</v>
      </c>
      <c r="AN14" s="44">
        <v>1.7</v>
      </c>
      <c r="AO14" s="23">
        <v>1.5</v>
      </c>
      <c r="AP14" s="23">
        <v>2</v>
      </c>
      <c r="AQ14" s="4">
        <v>1.6</v>
      </c>
      <c r="AR14" s="23">
        <v>1.6</v>
      </c>
      <c r="AS14" s="23">
        <v>1.9</v>
      </c>
      <c r="AT14" s="23">
        <v>1.9</v>
      </c>
      <c r="AU14" s="23">
        <v>1.6</v>
      </c>
      <c r="AV14" s="23">
        <v>2</v>
      </c>
      <c r="AW14" s="23">
        <v>1.5</v>
      </c>
      <c r="AX14" s="4">
        <v>1.6</v>
      </c>
      <c r="AY14" s="4">
        <v>1.4</v>
      </c>
      <c r="AZ14" s="4">
        <v>1.4</v>
      </c>
      <c r="BA14" s="4">
        <v>1.4</v>
      </c>
      <c r="BB14" s="4">
        <v>1.3</v>
      </c>
      <c r="BC14" s="4">
        <v>1.3</v>
      </c>
      <c r="BD14" s="4">
        <v>1.4</v>
      </c>
      <c r="BE14" s="4">
        <v>1.1000000000000001</v>
      </c>
      <c r="BF14" s="4">
        <v>1.6</v>
      </c>
      <c r="BG14" s="23">
        <v>1.5</v>
      </c>
      <c r="BH14" s="23">
        <v>1.1000000000000001</v>
      </c>
      <c r="BI14" s="23">
        <v>1.2</v>
      </c>
      <c r="BJ14" s="23">
        <v>1.2</v>
      </c>
      <c r="BK14" s="4">
        <v>1.2</v>
      </c>
      <c r="BL14" s="23">
        <v>1.6</v>
      </c>
      <c r="BM14" s="4">
        <v>1.4</v>
      </c>
      <c r="BN14" s="4">
        <v>1.4</v>
      </c>
      <c r="BO14" s="4">
        <v>1.2</v>
      </c>
      <c r="BP14" s="55">
        <v>1.2</v>
      </c>
      <c r="BQ14" s="66">
        <v>1.1000000000000001</v>
      </c>
    </row>
    <row r="15" spans="1:69" s="7" customFormat="1" ht="16.5" customHeight="1" x14ac:dyDescent="0.15">
      <c r="A15" s="16" t="s">
        <v>37</v>
      </c>
      <c r="B15" s="44">
        <v>42.7</v>
      </c>
      <c r="C15" s="44">
        <v>39</v>
      </c>
      <c r="D15" s="44">
        <v>37.4</v>
      </c>
      <c r="E15" s="44">
        <v>30.9</v>
      </c>
      <c r="F15" s="44">
        <v>28</v>
      </c>
      <c r="G15" s="44">
        <v>27.7</v>
      </c>
      <c r="H15" s="44">
        <v>23.5</v>
      </c>
      <c r="I15" s="44">
        <v>23.4</v>
      </c>
      <c r="J15" s="44">
        <v>19.5</v>
      </c>
      <c r="K15" s="44">
        <v>18.100000000000001</v>
      </c>
      <c r="L15" s="44">
        <v>17.100000000000001</v>
      </c>
      <c r="M15" s="44">
        <v>14.1</v>
      </c>
      <c r="N15" s="44">
        <v>14.1</v>
      </c>
      <c r="O15" s="44">
        <v>11.5</v>
      </c>
      <c r="P15" s="44">
        <v>11</v>
      </c>
      <c r="Q15" s="44">
        <v>10.4</v>
      </c>
      <c r="R15" s="44">
        <v>8.5</v>
      </c>
      <c r="S15" s="44">
        <v>8</v>
      </c>
      <c r="T15" s="44">
        <v>6.7</v>
      </c>
      <c r="U15" s="44">
        <v>7.8</v>
      </c>
      <c r="V15" s="44">
        <v>5.7</v>
      </c>
      <c r="W15" s="44">
        <v>5.4</v>
      </c>
      <c r="X15" s="44">
        <v>4.5999999999999996</v>
      </c>
      <c r="Y15" s="44">
        <v>3.9</v>
      </c>
      <c r="Z15" s="44">
        <v>2.9</v>
      </c>
      <c r="AA15" s="44">
        <v>3.3</v>
      </c>
      <c r="AB15" s="44">
        <v>2.9</v>
      </c>
      <c r="AC15" s="44">
        <v>2.7</v>
      </c>
      <c r="AD15" s="44">
        <v>3</v>
      </c>
      <c r="AE15" s="44">
        <v>2.4</v>
      </c>
      <c r="AF15" s="44">
        <v>2.2000000000000002</v>
      </c>
      <c r="AG15" s="44">
        <v>2</v>
      </c>
      <c r="AH15" s="44">
        <v>2.2000000000000002</v>
      </c>
      <c r="AI15" s="44">
        <v>1.8</v>
      </c>
      <c r="AJ15" s="44">
        <v>2</v>
      </c>
      <c r="AK15" s="44">
        <v>2.2000000000000002</v>
      </c>
      <c r="AL15" s="44">
        <v>1.6</v>
      </c>
      <c r="AM15" s="44">
        <v>2</v>
      </c>
      <c r="AN15" s="44">
        <v>1.7</v>
      </c>
      <c r="AO15" s="23">
        <v>1.8</v>
      </c>
      <c r="AP15" s="23">
        <v>2.2999999999999998</v>
      </c>
      <c r="AQ15" s="4">
        <v>1.7</v>
      </c>
      <c r="AR15" s="23">
        <v>1.6</v>
      </c>
      <c r="AS15" s="23">
        <v>1.9</v>
      </c>
      <c r="AT15" s="23">
        <v>1.7</v>
      </c>
      <c r="AU15" s="23">
        <v>1.6</v>
      </c>
      <c r="AV15" s="23">
        <v>1.5</v>
      </c>
      <c r="AW15" s="23">
        <v>1.5</v>
      </c>
      <c r="AX15" s="4">
        <v>1.7</v>
      </c>
      <c r="AY15" s="4">
        <v>1.5</v>
      </c>
      <c r="AZ15" s="4">
        <v>1.5</v>
      </c>
      <c r="BA15" s="4">
        <v>1.7</v>
      </c>
      <c r="BB15" s="4">
        <v>1.6</v>
      </c>
      <c r="BC15" s="4">
        <v>1.6</v>
      </c>
      <c r="BD15" s="4">
        <v>1.3</v>
      </c>
      <c r="BE15" s="4">
        <v>1.5</v>
      </c>
      <c r="BF15" s="4">
        <v>1.4</v>
      </c>
      <c r="BG15" s="23">
        <v>1.5</v>
      </c>
      <c r="BH15" s="23">
        <v>1.4</v>
      </c>
      <c r="BI15" s="23">
        <v>1.6</v>
      </c>
      <c r="BJ15" s="23">
        <v>1.3</v>
      </c>
      <c r="BK15" s="4">
        <v>1.3</v>
      </c>
      <c r="BL15" s="23">
        <v>1.4</v>
      </c>
      <c r="BM15" s="4">
        <v>1.5</v>
      </c>
      <c r="BN15" s="4">
        <v>1.2</v>
      </c>
      <c r="BO15" s="4">
        <v>1.3</v>
      </c>
      <c r="BP15" s="55">
        <v>1.3</v>
      </c>
      <c r="BQ15" s="66">
        <v>1.2</v>
      </c>
    </row>
    <row r="16" spans="1:69" s="7" customFormat="1" x14ac:dyDescent="0.15">
      <c r="A16" s="16" t="s">
        <v>38</v>
      </c>
      <c r="B16" s="44">
        <v>48.6</v>
      </c>
      <c r="C16" s="44">
        <v>46.4</v>
      </c>
      <c r="D16" s="44">
        <v>41.6</v>
      </c>
      <c r="E16" s="44">
        <v>35.4</v>
      </c>
      <c r="F16" s="44">
        <v>31.1</v>
      </c>
      <c r="G16" s="44">
        <v>29.4</v>
      </c>
      <c r="H16" s="44">
        <v>25.2</v>
      </c>
      <c r="I16" s="44">
        <v>24.6</v>
      </c>
      <c r="J16" s="44">
        <v>20.5</v>
      </c>
      <c r="K16" s="44">
        <v>18.600000000000001</v>
      </c>
      <c r="L16" s="44">
        <v>18.399999999999999</v>
      </c>
      <c r="M16" s="44">
        <v>16.2</v>
      </c>
      <c r="N16" s="44">
        <v>15</v>
      </c>
      <c r="O16" s="44">
        <v>13.3</v>
      </c>
      <c r="P16" s="44">
        <v>13.3</v>
      </c>
      <c r="Q16" s="44">
        <v>12.4</v>
      </c>
      <c r="R16" s="44">
        <v>10.5</v>
      </c>
      <c r="S16" s="44">
        <v>10.1</v>
      </c>
      <c r="T16" s="44">
        <v>9.3000000000000007</v>
      </c>
      <c r="U16" s="44">
        <v>8.5</v>
      </c>
      <c r="V16" s="44">
        <v>7.9</v>
      </c>
      <c r="W16" s="44">
        <v>7.1</v>
      </c>
      <c r="X16" s="44">
        <v>6.7</v>
      </c>
      <c r="Y16" s="44">
        <v>6.8</v>
      </c>
      <c r="Z16" s="44">
        <v>5.2</v>
      </c>
      <c r="AA16" s="44">
        <v>4.8</v>
      </c>
      <c r="AB16" s="44">
        <v>4.7</v>
      </c>
      <c r="AC16" s="44">
        <v>4.0999999999999996</v>
      </c>
      <c r="AD16" s="44">
        <v>4.2</v>
      </c>
      <c r="AE16" s="44">
        <v>3.9</v>
      </c>
      <c r="AF16" s="44">
        <v>3.6</v>
      </c>
      <c r="AG16" s="44">
        <v>3.2</v>
      </c>
      <c r="AH16" s="44">
        <v>3.3</v>
      </c>
      <c r="AI16" s="44">
        <v>3.3</v>
      </c>
      <c r="AJ16" s="44">
        <v>3</v>
      </c>
      <c r="AK16" s="44">
        <v>3.1</v>
      </c>
      <c r="AL16" s="44">
        <v>3.3</v>
      </c>
      <c r="AM16" s="44">
        <v>3</v>
      </c>
      <c r="AN16" s="44">
        <v>3.3</v>
      </c>
      <c r="AO16" s="23">
        <v>2.9</v>
      </c>
      <c r="AP16" s="23">
        <v>3.2</v>
      </c>
      <c r="AQ16" s="4">
        <v>2.7</v>
      </c>
      <c r="AR16" s="23">
        <v>2.9</v>
      </c>
      <c r="AS16" s="23">
        <v>2.7</v>
      </c>
      <c r="AT16" s="23">
        <v>2.9</v>
      </c>
      <c r="AU16" s="23">
        <v>2.8</v>
      </c>
      <c r="AV16" s="23">
        <v>2.4</v>
      </c>
      <c r="AW16" s="23">
        <v>2.4</v>
      </c>
      <c r="AX16" s="4">
        <v>2.1</v>
      </c>
      <c r="AY16" s="4">
        <v>2.4</v>
      </c>
      <c r="AZ16" s="4">
        <v>2.2000000000000002</v>
      </c>
      <c r="BA16" s="4">
        <v>2</v>
      </c>
      <c r="BB16" s="4">
        <v>2.2000000000000002</v>
      </c>
      <c r="BC16" s="4">
        <v>2.2000000000000002</v>
      </c>
      <c r="BD16" s="4">
        <v>2</v>
      </c>
      <c r="BE16" s="4">
        <v>2</v>
      </c>
      <c r="BF16" s="4">
        <v>1.8</v>
      </c>
      <c r="BG16" s="23">
        <v>1.8</v>
      </c>
      <c r="BH16" s="23">
        <v>1.9</v>
      </c>
      <c r="BI16" s="23">
        <v>1.7</v>
      </c>
      <c r="BJ16" s="23">
        <v>1.5</v>
      </c>
      <c r="BK16" s="4">
        <v>1.6</v>
      </c>
      <c r="BL16" s="23">
        <v>1.8</v>
      </c>
      <c r="BM16" s="4">
        <v>1.6</v>
      </c>
      <c r="BN16" s="4">
        <v>1.5</v>
      </c>
      <c r="BO16" s="4">
        <v>1.5</v>
      </c>
      <c r="BP16" s="55">
        <v>1.5</v>
      </c>
      <c r="BQ16" s="66">
        <v>1.3</v>
      </c>
    </row>
    <row r="17" spans="1:69" s="7" customFormat="1" ht="16.5" customHeight="1" x14ac:dyDescent="0.15">
      <c r="A17" s="16" t="s">
        <v>39</v>
      </c>
      <c r="B17" s="44">
        <v>47.3</v>
      </c>
      <c r="C17" s="44">
        <v>42.2</v>
      </c>
      <c r="D17" s="44">
        <v>41.9</v>
      </c>
      <c r="E17" s="44">
        <v>33</v>
      </c>
      <c r="F17" s="37">
        <v>29.1</v>
      </c>
      <c r="G17" s="44">
        <v>27.7</v>
      </c>
      <c r="H17" s="44">
        <v>22.2</v>
      </c>
      <c r="I17" s="44">
        <v>22.8</v>
      </c>
      <c r="J17" s="44">
        <v>18.3</v>
      </c>
      <c r="K17" s="44">
        <v>19.600000000000001</v>
      </c>
      <c r="L17" s="44">
        <v>16</v>
      </c>
      <c r="M17" s="44">
        <v>14.9</v>
      </c>
      <c r="N17" s="44">
        <v>13.4</v>
      </c>
      <c r="O17" s="44">
        <v>10.199999999999999</v>
      </c>
      <c r="P17" s="44">
        <v>11</v>
      </c>
      <c r="Q17" s="44">
        <v>9.6</v>
      </c>
      <c r="R17" s="44">
        <v>8.6</v>
      </c>
      <c r="S17" s="44">
        <v>7.3</v>
      </c>
      <c r="T17" s="44">
        <v>7.4</v>
      </c>
      <c r="U17" s="44">
        <v>6.4</v>
      </c>
      <c r="V17" s="44">
        <v>6</v>
      </c>
      <c r="W17" s="44">
        <v>5.0999999999999996</v>
      </c>
      <c r="X17" s="44">
        <v>4.5</v>
      </c>
      <c r="Y17" s="44">
        <v>5</v>
      </c>
      <c r="Z17" s="44">
        <v>3.7</v>
      </c>
      <c r="AA17" s="44">
        <v>3.8</v>
      </c>
      <c r="AB17" s="44">
        <v>3.3</v>
      </c>
      <c r="AC17" s="44">
        <v>3.5</v>
      </c>
      <c r="AD17" s="44">
        <v>3.3</v>
      </c>
      <c r="AE17" s="44">
        <v>2.9</v>
      </c>
      <c r="AF17" s="44">
        <v>2.8</v>
      </c>
      <c r="AG17" s="44">
        <v>2.7</v>
      </c>
      <c r="AH17" s="44">
        <v>2.8</v>
      </c>
      <c r="AI17" s="44">
        <v>2.2999999999999998</v>
      </c>
      <c r="AJ17" s="44">
        <v>2.2999999999999998</v>
      </c>
      <c r="AK17" s="44">
        <v>2</v>
      </c>
      <c r="AL17" s="44">
        <v>2.2000000000000002</v>
      </c>
      <c r="AM17" s="44">
        <v>2.2999999999999998</v>
      </c>
      <c r="AN17" s="44">
        <v>2.1</v>
      </c>
      <c r="AO17" s="23">
        <v>2.2000000000000002</v>
      </c>
      <c r="AP17" s="23">
        <v>2.1</v>
      </c>
      <c r="AQ17" s="4">
        <v>1.9</v>
      </c>
      <c r="AR17" s="23">
        <v>2.2999999999999998</v>
      </c>
      <c r="AS17" s="23">
        <v>1.7</v>
      </c>
      <c r="AT17" s="23">
        <v>2.2000000000000002</v>
      </c>
      <c r="AU17" s="23">
        <v>1.7</v>
      </c>
      <c r="AV17" s="23">
        <v>2.1</v>
      </c>
      <c r="AW17" s="23">
        <v>1.8</v>
      </c>
      <c r="AX17" s="4">
        <v>1.7</v>
      </c>
      <c r="AY17" s="4">
        <v>1.6</v>
      </c>
      <c r="AZ17" s="4">
        <v>1.9</v>
      </c>
      <c r="BA17" s="4">
        <v>1.7</v>
      </c>
      <c r="BB17" s="4">
        <v>1.4</v>
      </c>
      <c r="BC17" s="4">
        <v>1.6</v>
      </c>
      <c r="BD17" s="4">
        <v>1.6</v>
      </c>
      <c r="BE17" s="4">
        <v>1.7</v>
      </c>
      <c r="BF17" s="4">
        <v>1.3</v>
      </c>
      <c r="BG17" s="23">
        <v>1.4</v>
      </c>
      <c r="BH17" s="23">
        <v>1.3</v>
      </c>
      <c r="BI17" s="23">
        <v>1.4</v>
      </c>
      <c r="BJ17" s="23">
        <v>1.2</v>
      </c>
      <c r="BK17" s="4">
        <v>1.1000000000000001</v>
      </c>
      <c r="BL17" s="23">
        <v>1.6</v>
      </c>
      <c r="BM17" s="4">
        <v>1.4</v>
      </c>
      <c r="BN17" s="4">
        <v>1.4</v>
      </c>
      <c r="BO17" s="4">
        <v>1.4</v>
      </c>
      <c r="BP17" s="55">
        <v>1.1000000000000001</v>
      </c>
      <c r="BQ17" s="66">
        <v>1.2</v>
      </c>
    </row>
    <row r="18" spans="1:69" s="7" customFormat="1" x14ac:dyDescent="0.15">
      <c r="A18" s="16" t="s">
        <v>40</v>
      </c>
      <c r="B18" s="44">
        <v>40.200000000000003</v>
      </c>
      <c r="C18" s="44">
        <v>36.5</v>
      </c>
      <c r="D18" s="44">
        <v>35.4</v>
      </c>
      <c r="E18" s="44">
        <v>30.8</v>
      </c>
      <c r="F18" s="44">
        <v>25.2</v>
      </c>
      <c r="G18" s="44">
        <v>22.8</v>
      </c>
      <c r="H18" s="44">
        <v>21.6</v>
      </c>
      <c r="I18" s="44">
        <v>19.399999999999999</v>
      </c>
      <c r="J18" s="44">
        <v>16</v>
      </c>
      <c r="K18" s="44">
        <v>13.9</v>
      </c>
      <c r="L18" s="44">
        <v>15</v>
      </c>
      <c r="M18" s="44">
        <v>12.8</v>
      </c>
      <c r="N18" s="44">
        <v>10.3</v>
      </c>
      <c r="O18" s="44">
        <v>9.9</v>
      </c>
      <c r="P18" s="44">
        <v>9.9</v>
      </c>
      <c r="Q18" s="44">
        <v>10.1</v>
      </c>
      <c r="R18" s="44">
        <v>7.8</v>
      </c>
      <c r="S18" s="44">
        <v>6.8</v>
      </c>
      <c r="T18" s="44">
        <v>6.3</v>
      </c>
      <c r="U18" s="44">
        <v>6.4</v>
      </c>
      <c r="V18" s="44">
        <v>5.3</v>
      </c>
      <c r="W18" s="44">
        <v>5.5</v>
      </c>
      <c r="X18" s="44">
        <v>5.0999999999999996</v>
      </c>
      <c r="Y18" s="44">
        <v>4.9000000000000004</v>
      </c>
      <c r="Z18" s="44">
        <v>3.4</v>
      </c>
      <c r="AA18" s="44">
        <v>3.9</v>
      </c>
      <c r="AB18" s="44">
        <v>3.7</v>
      </c>
      <c r="AC18" s="44">
        <v>3</v>
      </c>
      <c r="AD18" s="44">
        <v>2.6</v>
      </c>
      <c r="AE18" s="44">
        <v>2.2999999999999998</v>
      </c>
      <c r="AF18" s="44">
        <v>2.2999999999999998</v>
      </c>
      <c r="AG18" s="44">
        <v>2.4</v>
      </c>
      <c r="AH18" s="44">
        <v>1.5</v>
      </c>
      <c r="AI18" s="44">
        <v>1.5</v>
      </c>
      <c r="AJ18" s="44">
        <v>1.9</v>
      </c>
      <c r="AK18" s="44">
        <v>2</v>
      </c>
      <c r="AL18" s="44">
        <v>1.5</v>
      </c>
      <c r="AM18" s="44">
        <v>1.9</v>
      </c>
      <c r="AN18" s="44">
        <v>1.5</v>
      </c>
      <c r="AO18" s="23">
        <v>1.3</v>
      </c>
      <c r="AP18" s="23">
        <v>1.9</v>
      </c>
      <c r="AQ18" s="4">
        <v>1.2</v>
      </c>
      <c r="AR18" s="23">
        <v>1.6</v>
      </c>
      <c r="AS18" s="23">
        <v>1.6</v>
      </c>
      <c r="AT18" s="23">
        <v>1.5</v>
      </c>
      <c r="AU18" s="23">
        <v>1.2</v>
      </c>
      <c r="AV18" s="23">
        <v>1.5</v>
      </c>
      <c r="AW18" s="23">
        <v>1.2</v>
      </c>
      <c r="AX18" s="4">
        <v>1.2</v>
      </c>
      <c r="AY18" s="4">
        <v>1.3</v>
      </c>
      <c r="AZ18" s="4">
        <v>1.1000000000000001</v>
      </c>
      <c r="BA18" s="4">
        <v>1.5</v>
      </c>
      <c r="BB18" s="4">
        <v>1.3</v>
      </c>
      <c r="BC18" s="4">
        <v>0.8</v>
      </c>
      <c r="BD18" s="4">
        <v>1.3</v>
      </c>
      <c r="BE18" s="4">
        <v>1.1000000000000001</v>
      </c>
      <c r="BF18" s="4">
        <v>1.5</v>
      </c>
      <c r="BG18" s="23">
        <v>1</v>
      </c>
      <c r="BH18" s="23">
        <v>1.1000000000000001</v>
      </c>
      <c r="BI18" s="23">
        <v>1</v>
      </c>
      <c r="BJ18" s="23">
        <v>1</v>
      </c>
      <c r="BK18" s="4">
        <v>1.1000000000000001</v>
      </c>
      <c r="BL18" s="23">
        <v>1</v>
      </c>
      <c r="BM18" s="4">
        <v>1.3</v>
      </c>
      <c r="BN18" s="4">
        <v>1.1000000000000001</v>
      </c>
      <c r="BO18" s="4">
        <v>1.6</v>
      </c>
      <c r="BP18" s="55">
        <v>1.3</v>
      </c>
      <c r="BQ18" s="66">
        <v>0.8</v>
      </c>
    </row>
    <row r="19" spans="1:69" s="7" customFormat="1" x14ac:dyDescent="0.15">
      <c r="A19" s="16" t="s">
        <v>41</v>
      </c>
      <c r="B19" s="44">
        <v>45.7</v>
      </c>
      <c r="C19" s="44">
        <v>45.5</v>
      </c>
      <c r="D19" s="44">
        <v>43.1</v>
      </c>
      <c r="E19" s="44">
        <v>34.1</v>
      </c>
      <c r="F19" s="44">
        <v>35.9</v>
      </c>
      <c r="G19" s="44">
        <v>29.3</v>
      </c>
      <c r="H19" s="44">
        <v>28.2</v>
      </c>
      <c r="I19" s="44">
        <v>28</v>
      </c>
      <c r="J19" s="44">
        <v>25.4</v>
      </c>
      <c r="K19" s="44">
        <v>23.6</v>
      </c>
      <c r="L19" s="44">
        <v>23.2</v>
      </c>
      <c r="M19" s="44">
        <v>16.899999999999999</v>
      </c>
      <c r="N19" s="44">
        <v>16.5</v>
      </c>
      <c r="O19" s="44">
        <v>13.4</v>
      </c>
      <c r="P19" s="44">
        <v>13</v>
      </c>
      <c r="Q19" s="44">
        <v>13.9</v>
      </c>
      <c r="R19" s="44">
        <v>14.1</v>
      </c>
      <c r="S19" s="44">
        <v>11.7</v>
      </c>
      <c r="T19" s="44">
        <v>10.6</v>
      </c>
      <c r="U19" s="44">
        <v>12.9</v>
      </c>
      <c r="V19" s="44">
        <v>9.5</v>
      </c>
      <c r="W19" s="44">
        <v>8.1999999999999993</v>
      </c>
      <c r="X19" s="44">
        <v>7.5</v>
      </c>
      <c r="Y19" s="53">
        <v>8.3000000000000007</v>
      </c>
      <c r="Z19" s="44">
        <v>6.5</v>
      </c>
      <c r="AA19" s="44">
        <v>6.9</v>
      </c>
      <c r="AB19" s="44">
        <v>5</v>
      </c>
      <c r="AC19" s="44">
        <v>5.0999999999999996</v>
      </c>
      <c r="AD19" s="44">
        <v>4.7</v>
      </c>
      <c r="AE19" s="44">
        <v>4.5999999999999996</v>
      </c>
      <c r="AF19" s="44">
        <v>3.6</v>
      </c>
      <c r="AG19" s="44">
        <v>3.7</v>
      </c>
      <c r="AH19" s="44">
        <v>2.8</v>
      </c>
      <c r="AI19" s="44">
        <v>2.4</v>
      </c>
      <c r="AJ19" s="44">
        <v>3.5</v>
      </c>
      <c r="AK19" s="44">
        <v>3.2</v>
      </c>
      <c r="AL19" s="44">
        <v>1.2</v>
      </c>
      <c r="AM19" s="44">
        <v>2.1</v>
      </c>
      <c r="AN19" s="44">
        <v>1.6</v>
      </c>
      <c r="AO19" s="23">
        <v>3.2</v>
      </c>
      <c r="AP19" s="23">
        <v>3.2</v>
      </c>
      <c r="AQ19" s="4">
        <v>1.4</v>
      </c>
      <c r="AR19" s="23">
        <v>1.1000000000000001</v>
      </c>
      <c r="AS19" s="23">
        <v>2.1</v>
      </c>
      <c r="AT19" s="23">
        <v>2.9</v>
      </c>
      <c r="AU19" s="23">
        <v>2.2999999999999998</v>
      </c>
      <c r="AV19" s="23">
        <v>2</v>
      </c>
      <c r="AW19" s="23">
        <v>1.8</v>
      </c>
      <c r="AX19" s="4">
        <v>1.5</v>
      </c>
      <c r="AY19" s="4">
        <v>2.4</v>
      </c>
      <c r="AZ19" s="4">
        <v>3.3</v>
      </c>
      <c r="BA19" s="4">
        <v>2.6</v>
      </c>
      <c r="BB19" s="4">
        <v>2.4</v>
      </c>
      <c r="BC19" s="4">
        <v>1.9</v>
      </c>
      <c r="BD19" s="4">
        <v>1.6</v>
      </c>
      <c r="BE19" s="4">
        <v>1.5</v>
      </c>
      <c r="BF19" s="4">
        <v>1.9</v>
      </c>
      <c r="BG19" s="23">
        <v>1.6</v>
      </c>
      <c r="BH19" s="23">
        <v>1.5</v>
      </c>
      <c r="BI19" s="23">
        <v>1.5</v>
      </c>
      <c r="BJ19" s="23">
        <v>1.4</v>
      </c>
      <c r="BK19" s="4">
        <v>1.6</v>
      </c>
      <c r="BL19" s="23">
        <v>1.1000000000000001</v>
      </c>
      <c r="BM19" s="4">
        <v>1.5</v>
      </c>
      <c r="BN19" s="4">
        <v>1.7</v>
      </c>
      <c r="BO19" s="4">
        <v>1.9</v>
      </c>
      <c r="BP19" s="55">
        <v>2.2000000000000002</v>
      </c>
      <c r="BQ19" s="66">
        <v>1.3</v>
      </c>
    </row>
    <row r="20" spans="1:69" s="7" customFormat="1" x14ac:dyDescent="0.15">
      <c r="A20" s="16" t="s">
        <v>42</v>
      </c>
      <c r="B20" s="44">
        <v>48.6</v>
      </c>
      <c r="C20" s="44">
        <v>52.4</v>
      </c>
      <c r="D20" s="44">
        <v>50</v>
      </c>
      <c r="E20" s="44">
        <v>41.9</v>
      </c>
      <c r="F20" s="44">
        <v>35</v>
      </c>
      <c r="G20" s="44">
        <v>36.4</v>
      </c>
      <c r="H20" s="44">
        <v>32.5</v>
      </c>
      <c r="I20" s="44">
        <v>29.5</v>
      </c>
      <c r="J20" s="44">
        <v>26.4</v>
      </c>
      <c r="K20" s="44">
        <v>25.8</v>
      </c>
      <c r="L20" s="44">
        <v>23</v>
      </c>
      <c r="M20" s="44">
        <v>22.3</v>
      </c>
      <c r="N20" s="44">
        <v>19</v>
      </c>
      <c r="O20" s="44">
        <v>18</v>
      </c>
      <c r="P20" s="44">
        <v>20.5</v>
      </c>
      <c r="Q20" s="44">
        <v>15.9</v>
      </c>
      <c r="R20" s="44">
        <v>14</v>
      </c>
      <c r="S20" s="44">
        <v>12.9</v>
      </c>
      <c r="T20" s="44">
        <v>12.9</v>
      </c>
      <c r="U20" s="44">
        <v>12.5</v>
      </c>
      <c r="V20" s="44">
        <v>10.7</v>
      </c>
      <c r="W20" s="44">
        <v>8</v>
      </c>
      <c r="X20" s="44">
        <v>8.4</v>
      </c>
      <c r="Y20" s="44">
        <v>8.1</v>
      </c>
      <c r="Z20" s="44">
        <v>6.9</v>
      </c>
      <c r="AA20" s="44">
        <v>4.3</v>
      </c>
      <c r="AB20" s="44">
        <v>4</v>
      </c>
      <c r="AC20" s="44">
        <v>5.3</v>
      </c>
      <c r="AD20" s="44">
        <v>3.3</v>
      </c>
      <c r="AE20" s="44">
        <v>4.3</v>
      </c>
      <c r="AF20" s="44">
        <v>5.6</v>
      </c>
      <c r="AG20" s="44">
        <v>4.3</v>
      </c>
      <c r="AH20" s="44">
        <v>4</v>
      </c>
      <c r="AI20" s="44">
        <v>3.3</v>
      </c>
      <c r="AJ20" s="44">
        <v>3.6</v>
      </c>
      <c r="AK20" s="44">
        <v>3.7</v>
      </c>
      <c r="AL20" s="44">
        <v>2.8</v>
      </c>
      <c r="AM20" s="44">
        <v>2.1</v>
      </c>
      <c r="AN20" s="44">
        <v>1.6</v>
      </c>
      <c r="AO20" s="23">
        <v>2.5</v>
      </c>
      <c r="AP20" s="23">
        <v>2.4</v>
      </c>
      <c r="AQ20" s="4">
        <v>1.9</v>
      </c>
      <c r="AR20" s="23">
        <v>1.8</v>
      </c>
      <c r="AS20" s="23">
        <v>2.6</v>
      </c>
      <c r="AT20" s="23">
        <v>1.9</v>
      </c>
      <c r="AU20" s="23">
        <v>2.1</v>
      </c>
      <c r="AV20" s="23">
        <v>2.2000000000000002</v>
      </c>
      <c r="AW20" s="23">
        <v>2.5</v>
      </c>
      <c r="AX20" s="4">
        <v>1.5</v>
      </c>
      <c r="AY20" s="4">
        <v>1.2</v>
      </c>
      <c r="AZ20" s="4">
        <v>1.6</v>
      </c>
      <c r="BA20" s="4">
        <v>1</v>
      </c>
      <c r="BB20" s="4">
        <v>1.1000000000000001</v>
      </c>
      <c r="BC20" s="4">
        <v>0.8</v>
      </c>
      <c r="BD20" s="4">
        <v>1.6</v>
      </c>
      <c r="BE20" s="4">
        <v>1.6</v>
      </c>
      <c r="BF20" s="4">
        <v>1.3</v>
      </c>
      <c r="BG20" s="23">
        <v>0.8</v>
      </c>
      <c r="BH20" s="23">
        <v>1.3</v>
      </c>
      <c r="BI20" s="23">
        <v>1</v>
      </c>
      <c r="BJ20" s="23">
        <v>1.2</v>
      </c>
      <c r="BK20" s="4">
        <v>1.2</v>
      </c>
      <c r="BL20" s="23">
        <v>1.1000000000000001</v>
      </c>
      <c r="BM20" s="4">
        <v>1.3</v>
      </c>
      <c r="BN20" s="4">
        <v>0.7</v>
      </c>
      <c r="BO20" s="4">
        <v>1.3</v>
      </c>
      <c r="BP20" s="55">
        <v>1.4</v>
      </c>
      <c r="BQ20" s="66">
        <v>1.6</v>
      </c>
    </row>
    <row r="21" spans="1:69" s="7" customFormat="1" x14ac:dyDescent="0.15">
      <c r="A21" s="16" t="s">
        <v>43</v>
      </c>
      <c r="B21" s="44">
        <v>53.3</v>
      </c>
      <c r="C21" s="44">
        <v>48.5</v>
      </c>
      <c r="D21" s="44">
        <v>45.1</v>
      </c>
      <c r="E21" s="44">
        <v>42.8</v>
      </c>
      <c r="F21" s="44">
        <v>38.4</v>
      </c>
      <c r="G21" s="44">
        <v>36.1</v>
      </c>
      <c r="H21" s="44">
        <v>31.7</v>
      </c>
      <c r="I21" s="44">
        <v>30.6</v>
      </c>
      <c r="J21" s="44">
        <v>27.2</v>
      </c>
      <c r="K21" s="44">
        <v>28.6</v>
      </c>
      <c r="L21" s="44">
        <v>27.7</v>
      </c>
      <c r="M21" s="44">
        <v>24.5</v>
      </c>
      <c r="N21" s="44">
        <v>22.4</v>
      </c>
      <c r="O21" s="44">
        <v>19.100000000000001</v>
      </c>
      <c r="P21" s="44">
        <v>16.100000000000001</v>
      </c>
      <c r="Q21" s="44">
        <v>16.100000000000001</v>
      </c>
      <c r="R21" s="44">
        <v>13.3</v>
      </c>
      <c r="S21" s="44">
        <v>12</v>
      </c>
      <c r="T21" s="44">
        <v>13.4</v>
      </c>
      <c r="U21" s="44">
        <v>10.9</v>
      </c>
      <c r="V21" s="44">
        <v>12.8</v>
      </c>
      <c r="W21" s="44">
        <v>9</v>
      </c>
      <c r="X21" s="44">
        <v>8</v>
      </c>
      <c r="Y21" s="44">
        <v>8.4</v>
      </c>
      <c r="Z21" s="44">
        <v>7</v>
      </c>
      <c r="AA21" s="44">
        <v>8</v>
      </c>
      <c r="AB21" s="44">
        <v>7.6</v>
      </c>
      <c r="AC21" s="44">
        <v>4.4000000000000004</v>
      </c>
      <c r="AD21" s="44">
        <v>5.4</v>
      </c>
      <c r="AE21" s="44">
        <v>4.4000000000000004</v>
      </c>
      <c r="AF21" s="44">
        <v>3.9</v>
      </c>
      <c r="AG21" s="44">
        <v>3.4</v>
      </c>
      <c r="AH21" s="44">
        <v>3.9</v>
      </c>
      <c r="AI21" s="44">
        <v>3.8</v>
      </c>
      <c r="AJ21" s="44">
        <v>4.4000000000000004</v>
      </c>
      <c r="AK21" s="44">
        <v>2.7</v>
      </c>
      <c r="AL21" s="44">
        <v>3.3</v>
      </c>
      <c r="AM21" s="44">
        <v>3.5</v>
      </c>
      <c r="AN21" s="44">
        <v>3.3</v>
      </c>
      <c r="AO21" s="23">
        <v>3.4</v>
      </c>
      <c r="AP21" s="23">
        <v>2.2999999999999998</v>
      </c>
      <c r="AQ21" s="4">
        <v>1.5</v>
      </c>
      <c r="AR21" s="23">
        <v>2.1</v>
      </c>
      <c r="AS21" s="23">
        <v>1.1000000000000001</v>
      </c>
      <c r="AT21" s="23">
        <v>1.8</v>
      </c>
      <c r="AU21" s="23">
        <v>2.2000000000000002</v>
      </c>
      <c r="AV21" s="23">
        <v>1.6</v>
      </c>
      <c r="AW21" s="23">
        <v>1</v>
      </c>
      <c r="AX21" s="4">
        <v>1.5</v>
      </c>
      <c r="AY21" s="4">
        <v>0.9</v>
      </c>
      <c r="AZ21" s="4">
        <v>2</v>
      </c>
      <c r="BA21" s="4">
        <v>1.1000000000000001</v>
      </c>
      <c r="BB21" s="4">
        <v>2</v>
      </c>
      <c r="BC21" s="4">
        <v>1.1000000000000001</v>
      </c>
      <c r="BD21" s="4">
        <v>1.5</v>
      </c>
      <c r="BE21" s="4">
        <v>1.4</v>
      </c>
      <c r="BF21" s="4">
        <v>1.5</v>
      </c>
      <c r="BG21" s="23">
        <v>1.5</v>
      </c>
      <c r="BH21" s="23">
        <v>1.9</v>
      </c>
      <c r="BI21" s="23">
        <v>0.9</v>
      </c>
      <c r="BJ21" s="23">
        <v>1</v>
      </c>
      <c r="BK21" s="4">
        <v>1.8</v>
      </c>
      <c r="BL21" s="23">
        <v>1.6</v>
      </c>
      <c r="BM21" s="4">
        <v>2</v>
      </c>
      <c r="BN21" s="4">
        <v>0.9</v>
      </c>
      <c r="BO21" s="4">
        <v>1.7</v>
      </c>
      <c r="BP21" s="55">
        <v>1.5</v>
      </c>
      <c r="BQ21" s="66">
        <v>0.8</v>
      </c>
    </row>
    <row r="22" spans="1:69" s="7" customFormat="1" x14ac:dyDescent="0.15">
      <c r="A22" s="16" t="s">
        <v>44</v>
      </c>
      <c r="B22" s="44">
        <v>33.6</v>
      </c>
      <c r="C22" s="44">
        <v>31.4</v>
      </c>
      <c r="D22" s="44">
        <v>27.6</v>
      </c>
      <c r="E22" s="44">
        <v>25</v>
      </c>
      <c r="F22" s="44">
        <v>25.1</v>
      </c>
      <c r="G22" s="44">
        <v>25.3</v>
      </c>
      <c r="H22" s="44">
        <v>18.5</v>
      </c>
      <c r="I22" s="44">
        <v>18.399999999999999</v>
      </c>
      <c r="J22" s="44">
        <v>15.9</v>
      </c>
      <c r="K22" s="44">
        <v>17.5</v>
      </c>
      <c r="L22" s="44">
        <v>18.3</v>
      </c>
      <c r="M22" s="44">
        <v>15.5</v>
      </c>
      <c r="N22" s="44">
        <v>14.5</v>
      </c>
      <c r="O22" s="44">
        <v>13.7</v>
      </c>
      <c r="P22" s="44">
        <v>11.5</v>
      </c>
      <c r="Q22" s="44">
        <v>15.7</v>
      </c>
      <c r="R22" s="44">
        <v>11.5</v>
      </c>
      <c r="S22" s="44">
        <v>8.9</v>
      </c>
      <c r="T22" s="44">
        <v>7.9</v>
      </c>
      <c r="U22" s="44">
        <v>7.8</v>
      </c>
      <c r="V22" s="44">
        <v>9.8000000000000007</v>
      </c>
      <c r="W22" s="44">
        <v>7.6</v>
      </c>
      <c r="X22" s="44">
        <v>6</v>
      </c>
      <c r="Y22" s="44">
        <v>7.7</v>
      </c>
      <c r="Z22" s="44">
        <v>3.9</v>
      </c>
      <c r="AA22" s="44">
        <v>5.2</v>
      </c>
      <c r="AB22" s="44">
        <v>4.5999999999999996</v>
      </c>
      <c r="AC22" s="44">
        <v>2.8</v>
      </c>
      <c r="AD22" s="44">
        <v>3.4</v>
      </c>
      <c r="AE22" s="44">
        <v>3.7</v>
      </c>
      <c r="AF22" s="44">
        <v>3.4</v>
      </c>
      <c r="AG22" s="44">
        <v>2.2999999999999998</v>
      </c>
      <c r="AH22" s="44">
        <v>3</v>
      </c>
      <c r="AI22" s="44">
        <v>2.8</v>
      </c>
      <c r="AJ22" s="44">
        <v>2.4</v>
      </c>
      <c r="AK22" s="44">
        <v>1.9</v>
      </c>
      <c r="AL22" s="44">
        <v>1.4</v>
      </c>
      <c r="AM22" s="44">
        <v>2.1</v>
      </c>
      <c r="AN22" s="44">
        <v>1.7</v>
      </c>
      <c r="AO22" s="23">
        <v>1.6</v>
      </c>
      <c r="AP22" s="23">
        <v>1.4</v>
      </c>
      <c r="AQ22" s="4">
        <v>1.5</v>
      </c>
      <c r="AR22" s="23">
        <v>2.2000000000000002</v>
      </c>
      <c r="AS22" s="23">
        <v>1.8</v>
      </c>
      <c r="AT22" s="23">
        <v>1</v>
      </c>
      <c r="AU22" s="23">
        <v>1.6</v>
      </c>
      <c r="AV22" s="23">
        <v>1.3</v>
      </c>
      <c r="AW22" s="23">
        <v>1</v>
      </c>
      <c r="AX22" s="4">
        <v>0.5</v>
      </c>
      <c r="AY22" s="4">
        <v>0.8</v>
      </c>
      <c r="AZ22" s="4">
        <v>1.4</v>
      </c>
      <c r="BA22" s="4">
        <v>1.5</v>
      </c>
      <c r="BB22" s="4">
        <v>1.3</v>
      </c>
      <c r="BC22" s="4">
        <v>1.2</v>
      </c>
      <c r="BD22" s="4">
        <v>1.8</v>
      </c>
      <c r="BE22" s="4">
        <v>2</v>
      </c>
      <c r="BF22" s="4">
        <v>1.5</v>
      </c>
      <c r="BG22" s="23">
        <v>1.7</v>
      </c>
      <c r="BH22" s="23">
        <v>1.4</v>
      </c>
      <c r="BI22" s="23">
        <v>1.3</v>
      </c>
      <c r="BJ22" s="23">
        <v>1.1000000000000001</v>
      </c>
      <c r="BK22" s="4">
        <v>1.1000000000000001</v>
      </c>
      <c r="BL22" s="23">
        <v>1.6</v>
      </c>
      <c r="BM22" s="4">
        <v>1.5</v>
      </c>
      <c r="BN22" s="4">
        <v>2.6</v>
      </c>
      <c r="BO22" s="4">
        <v>1.5</v>
      </c>
      <c r="BP22" s="55">
        <v>0.5</v>
      </c>
      <c r="BQ22" s="66">
        <v>1.4</v>
      </c>
    </row>
    <row r="23" spans="1:69" s="7" customFormat="1" x14ac:dyDescent="0.15">
      <c r="A23" s="16" t="s">
        <v>45</v>
      </c>
      <c r="B23" s="44">
        <v>31.9</v>
      </c>
      <c r="C23" s="44">
        <v>31.1</v>
      </c>
      <c r="D23" s="44">
        <v>26.4</v>
      </c>
      <c r="E23" s="44">
        <v>23.5</v>
      </c>
      <c r="F23" s="44">
        <v>20.9</v>
      </c>
      <c r="G23" s="44">
        <v>18.3</v>
      </c>
      <c r="H23" s="44">
        <v>16.5</v>
      </c>
      <c r="I23" s="44">
        <v>16.399999999999999</v>
      </c>
      <c r="J23" s="44">
        <v>13.3</v>
      </c>
      <c r="K23" s="44">
        <v>13.8</v>
      </c>
      <c r="L23" s="44">
        <v>12.9</v>
      </c>
      <c r="M23" s="44">
        <v>10.8</v>
      </c>
      <c r="N23" s="44">
        <v>10.3</v>
      </c>
      <c r="O23" s="44">
        <v>8.6999999999999993</v>
      </c>
      <c r="P23" s="44">
        <v>8.9</v>
      </c>
      <c r="Q23" s="44">
        <v>8.1999999999999993</v>
      </c>
      <c r="R23" s="44">
        <v>7.6</v>
      </c>
      <c r="S23" s="44">
        <v>6.5</v>
      </c>
      <c r="T23" s="44">
        <v>5.8</v>
      </c>
      <c r="U23" s="44">
        <v>5.9</v>
      </c>
      <c r="V23" s="44">
        <v>5.0999999999999996</v>
      </c>
      <c r="W23" s="44">
        <v>4</v>
      </c>
      <c r="X23" s="44">
        <v>4.7</v>
      </c>
      <c r="Y23" s="44">
        <v>4.9000000000000004</v>
      </c>
      <c r="Z23" s="44">
        <v>3.9</v>
      </c>
      <c r="AA23" s="44">
        <v>4.8</v>
      </c>
      <c r="AB23" s="44">
        <v>3.4</v>
      </c>
      <c r="AC23" s="44">
        <v>3.4</v>
      </c>
      <c r="AD23" s="44">
        <v>3.5</v>
      </c>
      <c r="AE23" s="44">
        <v>2.7</v>
      </c>
      <c r="AF23" s="44">
        <v>2.5</v>
      </c>
      <c r="AG23" s="44">
        <v>2.5</v>
      </c>
      <c r="AH23" s="44">
        <v>2.1</v>
      </c>
      <c r="AI23" s="44">
        <v>2.2000000000000002</v>
      </c>
      <c r="AJ23" s="44">
        <v>1.7</v>
      </c>
      <c r="AK23" s="44">
        <v>1.6</v>
      </c>
      <c r="AL23" s="44">
        <v>1.9</v>
      </c>
      <c r="AM23" s="44">
        <v>1.9</v>
      </c>
      <c r="AN23" s="44">
        <v>1.8</v>
      </c>
      <c r="AO23" s="23">
        <v>2.1</v>
      </c>
      <c r="AP23" s="23">
        <v>1.5</v>
      </c>
      <c r="AQ23" s="4">
        <v>2.1</v>
      </c>
      <c r="AR23" s="23">
        <v>1.4</v>
      </c>
      <c r="AS23" s="23">
        <v>1.8</v>
      </c>
      <c r="AT23" s="23">
        <v>1.9</v>
      </c>
      <c r="AU23" s="23">
        <v>1.8</v>
      </c>
      <c r="AV23" s="23">
        <v>1.5</v>
      </c>
      <c r="AW23" s="23">
        <v>1.1000000000000001</v>
      </c>
      <c r="AX23" s="4">
        <v>1.7</v>
      </c>
      <c r="AY23" s="4">
        <v>1.4</v>
      </c>
      <c r="AZ23" s="4">
        <v>1.2</v>
      </c>
      <c r="BA23" s="4">
        <v>1.4</v>
      </c>
      <c r="BB23" s="4">
        <v>1.4</v>
      </c>
      <c r="BC23" s="4">
        <v>1</v>
      </c>
      <c r="BD23" s="4">
        <v>1.6</v>
      </c>
      <c r="BE23" s="4">
        <v>1.2</v>
      </c>
      <c r="BF23" s="4">
        <v>1.4</v>
      </c>
      <c r="BG23" s="23">
        <v>1.6</v>
      </c>
      <c r="BH23" s="23">
        <v>1.6</v>
      </c>
      <c r="BI23" s="23">
        <v>1</v>
      </c>
      <c r="BJ23" s="23">
        <v>0.9</v>
      </c>
      <c r="BK23" s="4">
        <v>1.2</v>
      </c>
      <c r="BL23" s="23">
        <v>1.2</v>
      </c>
      <c r="BM23" s="4">
        <v>1.8</v>
      </c>
      <c r="BN23" s="4">
        <v>1.9</v>
      </c>
      <c r="BO23" s="4">
        <v>1.5</v>
      </c>
      <c r="BP23" s="55">
        <v>1.5</v>
      </c>
      <c r="BQ23" s="66">
        <v>1.2</v>
      </c>
    </row>
    <row r="24" spans="1:69" s="7" customFormat="1" x14ac:dyDescent="0.15">
      <c r="A24" s="16" t="s">
        <v>46</v>
      </c>
      <c r="B24" s="44">
        <v>55.7</v>
      </c>
      <c r="C24" s="44">
        <v>50.2</v>
      </c>
      <c r="D24" s="44">
        <v>46.4</v>
      </c>
      <c r="E24" s="44">
        <v>42.1</v>
      </c>
      <c r="F24" s="44">
        <v>39.799999999999997</v>
      </c>
      <c r="G24" s="44">
        <v>36.6</v>
      </c>
      <c r="H24" s="44">
        <v>33.1</v>
      </c>
      <c r="I24" s="44">
        <v>34.700000000000003</v>
      </c>
      <c r="J24" s="44">
        <v>26.1</v>
      </c>
      <c r="K24" s="44">
        <v>25</v>
      </c>
      <c r="L24" s="44">
        <v>25.1</v>
      </c>
      <c r="M24" s="44">
        <v>23.6</v>
      </c>
      <c r="N24" s="44">
        <v>18.3</v>
      </c>
      <c r="O24" s="44">
        <v>19.100000000000001</v>
      </c>
      <c r="P24" s="44">
        <v>17.600000000000001</v>
      </c>
      <c r="Q24" s="44">
        <v>19.100000000000001</v>
      </c>
      <c r="R24" s="44">
        <v>14.7</v>
      </c>
      <c r="S24" s="44">
        <v>13.9</v>
      </c>
      <c r="T24" s="44">
        <v>14.5</v>
      </c>
      <c r="U24" s="44">
        <v>12</v>
      </c>
      <c r="V24" s="44">
        <v>13.2</v>
      </c>
      <c r="W24" s="44">
        <v>10.199999999999999</v>
      </c>
      <c r="X24" s="44">
        <v>10.7</v>
      </c>
      <c r="Y24" s="44">
        <v>9.5</v>
      </c>
      <c r="Z24" s="44">
        <v>9.1</v>
      </c>
      <c r="AA24" s="44">
        <v>8.6</v>
      </c>
      <c r="AB24" s="44">
        <v>7.8</v>
      </c>
      <c r="AC24" s="44">
        <v>6.9</v>
      </c>
      <c r="AD24" s="44">
        <v>7.1</v>
      </c>
      <c r="AE24" s="44">
        <v>5.7</v>
      </c>
      <c r="AF24" s="44">
        <v>5.8</v>
      </c>
      <c r="AG24" s="44">
        <v>5.0999999999999996</v>
      </c>
      <c r="AH24" s="44">
        <v>4.4000000000000004</v>
      </c>
      <c r="AI24" s="44">
        <v>4.4000000000000004</v>
      </c>
      <c r="AJ24" s="44">
        <v>3.2</v>
      </c>
      <c r="AK24" s="44">
        <v>3.8</v>
      </c>
      <c r="AL24" s="44">
        <v>3.9</v>
      </c>
      <c r="AM24" s="44">
        <v>4.2</v>
      </c>
      <c r="AN24" s="44">
        <v>4</v>
      </c>
      <c r="AO24" s="23">
        <v>2.9</v>
      </c>
      <c r="AP24" s="23">
        <v>3.4</v>
      </c>
      <c r="AQ24" s="4">
        <v>3.2</v>
      </c>
      <c r="AR24" s="23">
        <v>3.2</v>
      </c>
      <c r="AS24" s="23">
        <v>2.2999999999999998</v>
      </c>
      <c r="AT24" s="23">
        <v>2.6</v>
      </c>
      <c r="AU24" s="23">
        <v>2.7</v>
      </c>
      <c r="AV24" s="23">
        <v>3.1</v>
      </c>
      <c r="AW24" s="23">
        <v>3.2</v>
      </c>
      <c r="AX24" s="4">
        <v>2.4</v>
      </c>
      <c r="AY24" s="4">
        <v>2.6</v>
      </c>
      <c r="AZ24" s="4">
        <v>1.8</v>
      </c>
      <c r="BA24" s="4">
        <v>2.1</v>
      </c>
      <c r="BB24" s="4">
        <v>2.7</v>
      </c>
      <c r="BC24" s="4">
        <v>1.8</v>
      </c>
      <c r="BD24" s="4">
        <v>2.2000000000000002</v>
      </c>
      <c r="BE24" s="4">
        <v>2.1</v>
      </c>
      <c r="BF24" s="4">
        <v>1.4</v>
      </c>
      <c r="BG24" s="23">
        <v>2.1</v>
      </c>
      <c r="BH24" s="23">
        <v>1.7</v>
      </c>
      <c r="BI24" s="23">
        <v>1.6</v>
      </c>
      <c r="BJ24" s="23">
        <v>1.5</v>
      </c>
      <c r="BK24" s="4">
        <v>2</v>
      </c>
      <c r="BL24" s="23">
        <v>1.8</v>
      </c>
      <c r="BM24" s="4">
        <v>2.4</v>
      </c>
      <c r="BN24" s="4">
        <v>1.9</v>
      </c>
      <c r="BO24" s="4">
        <v>1.9</v>
      </c>
      <c r="BP24" s="55">
        <v>2.1</v>
      </c>
      <c r="BQ24" s="66">
        <v>0.8</v>
      </c>
    </row>
    <row r="25" spans="1:69" s="7" customFormat="1" x14ac:dyDescent="0.15">
      <c r="A25" s="16" t="s">
        <v>47</v>
      </c>
      <c r="B25" s="44">
        <v>46.2</v>
      </c>
      <c r="C25" s="44">
        <v>41.2</v>
      </c>
      <c r="D25" s="44">
        <v>37.4</v>
      </c>
      <c r="E25" s="44">
        <v>34.4</v>
      </c>
      <c r="F25" s="44">
        <v>28.5</v>
      </c>
      <c r="G25" s="44">
        <v>28.6</v>
      </c>
      <c r="H25" s="44">
        <v>23.9</v>
      </c>
      <c r="I25" s="44">
        <v>23.9</v>
      </c>
      <c r="J25" s="44">
        <v>18.7</v>
      </c>
      <c r="K25" s="44">
        <v>20.100000000000001</v>
      </c>
      <c r="L25" s="44">
        <v>19.5</v>
      </c>
      <c r="M25" s="44">
        <v>16.7</v>
      </c>
      <c r="N25" s="44">
        <v>13.9</v>
      </c>
      <c r="O25" s="44">
        <v>14.5</v>
      </c>
      <c r="P25" s="44">
        <v>12</v>
      </c>
      <c r="Q25" s="44">
        <v>12.9</v>
      </c>
      <c r="R25" s="44">
        <v>10.7</v>
      </c>
      <c r="S25" s="44">
        <v>10.3</v>
      </c>
      <c r="T25" s="44">
        <v>9.3000000000000007</v>
      </c>
      <c r="U25" s="44">
        <v>9.4</v>
      </c>
      <c r="V25" s="44">
        <v>8.1999999999999993</v>
      </c>
      <c r="W25" s="44">
        <v>7.8</v>
      </c>
      <c r="X25" s="44">
        <v>8.4</v>
      </c>
      <c r="Y25" s="53">
        <v>6.8</v>
      </c>
      <c r="Z25" s="44">
        <v>5.0999999999999996</v>
      </c>
      <c r="AA25" s="44">
        <v>3.8</v>
      </c>
      <c r="AB25" s="44">
        <v>3.8</v>
      </c>
      <c r="AC25" s="44">
        <v>4</v>
      </c>
      <c r="AD25" s="44">
        <v>4.0999999999999996</v>
      </c>
      <c r="AE25" s="44">
        <v>3.5</v>
      </c>
      <c r="AF25" s="44">
        <v>3.5</v>
      </c>
      <c r="AG25" s="44">
        <v>3.1</v>
      </c>
      <c r="AH25" s="44">
        <v>3.5</v>
      </c>
      <c r="AI25" s="44">
        <v>3.1</v>
      </c>
      <c r="AJ25" s="44">
        <v>2.5</v>
      </c>
      <c r="AK25" s="44">
        <v>3.1</v>
      </c>
      <c r="AL25" s="44">
        <v>2.2000000000000002</v>
      </c>
      <c r="AM25" s="44">
        <v>2.5</v>
      </c>
      <c r="AN25" s="44">
        <v>2</v>
      </c>
      <c r="AO25" s="23">
        <v>2.1</v>
      </c>
      <c r="AP25" s="23">
        <v>2.8</v>
      </c>
      <c r="AQ25" s="4">
        <v>1.9</v>
      </c>
      <c r="AR25" s="23">
        <v>1.6</v>
      </c>
      <c r="AS25" s="23">
        <v>2.2000000000000002</v>
      </c>
      <c r="AT25" s="23">
        <v>2.2999999999999998</v>
      </c>
      <c r="AU25" s="23">
        <v>1.7</v>
      </c>
      <c r="AV25" s="23">
        <v>1.9</v>
      </c>
      <c r="AW25" s="23">
        <v>1.9</v>
      </c>
      <c r="AX25" s="4">
        <v>1.6</v>
      </c>
      <c r="AY25" s="4">
        <v>1.5</v>
      </c>
      <c r="AZ25" s="4">
        <v>1.8</v>
      </c>
      <c r="BA25" s="4">
        <v>2</v>
      </c>
      <c r="BB25" s="4">
        <v>1.8</v>
      </c>
      <c r="BC25" s="4">
        <v>1.8</v>
      </c>
      <c r="BD25" s="4">
        <v>2.1</v>
      </c>
      <c r="BE25" s="4">
        <v>1.4</v>
      </c>
      <c r="BF25" s="4">
        <v>1.7</v>
      </c>
      <c r="BG25" s="23">
        <v>1.8</v>
      </c>
      <c r="BH25" s="23">
        <v>1.8</v>
      </c>
      <c r="BI25" s="23">
        <v>1.5</v>
      </c>
      <c r="BJ25" s="23">
        <v>1.3</v>
      </c>
      <c r="BK25" s="4">
        <v>1.5</v>
      </c>
      <c r="BL25" s="23">
        <v>1.7</v>
      </c>
      <c r="BM25" s="4">
        <v>1.8</v>
      </c>
      <c r="BN25" s="4">
        <v>2.2999999999999998</v>
      </c>
      <c r="BO25" s="4">
        <v>1.5</v>
      </c>
      <c r="BP25" s="55">
        <v>1.4</v>
      </c>
      <c r="BQ25" s="66">
        <v>1</v>
      </c>
    </row>
    <row r="26" spans="1:69" s="7" customFormat="1" x14ac:dyDescent="0.15">
      <c r="A26" s="16" t="s">
        <v>48</v>
      </c>
      <c r="B26" s="44">
        <v>51.3</v>
      </c>
      <c r="C26" s="44">
        <v>47.1</v>
      </c>
      <c r="D26" s="44">
        <v>46.5</v>
      </c>
      <c r="E26" s="44">
        <v>37.6</v>
      </c>
      <c r="F26" s="44">
        <v>34.200000000000003</v>
      </c>
      <c r="G26" s="44">
        <v>33.700000000000003</v>
      </c>
      <c r="H26" s="44">
        <v>30.4</v>
      </c>
      <c r="I26" s="44">
        <v>30.1</v>
      </c>
      <c r="J26" s="44">
        <v>23.6</v>
      </c>
      <c r="K26" s="44">
        <v>24.2</v>
      </c>
      <c r="L26" s="44">
        <v>22.4</v>
      </c>
      <c r="M26" s="44">
        <v>21.1</v>
      </c>
      <c r="N26" s="44">
        <v>18.7</v>
      </c>
      <c r="O26" s="44">
        <v>17.100000000000001</v>
      </c>
      <c r="P26" s="44">
        <v>16.899999999999999</v>
      </c>
      <c r="Q26" s="44">
        <v>15.3</v>
      </c>
      <c r="R26" s="44">
        <v>11.9</v>
      </c>
      <c r="S26" s="44">
        <v>12.7</v>
      </c>
      <c r="T26" s="44">
        <v>11.3</v>
      </c>
      <c r="U26" s="44">
        <v>10.7</v>
      </c>
      <c r="V26" s="44">
        <v>10.1</v>
      </c>
      <c r="W26" s="44">
        <v>8.6</v>
      </c>
      <c r="X26" s="44">
        <v>8.9</v>
      </c>
      <c r="Y26" s="44">
        <v>7.5</v>
      </c>
      <c r="Z26" s="44">
        <v>6.3</v>
      </c>
      <c r="AA26" s="44">
        <v>6.5</v>
      </c>
      <c r="AB26" s="44">
        <v>5.4</v>
      </c>
      <c r="AC26" s="44">
        <v>5.5</v>
      </c>
      <c r="AD26" s="44">
        <v>5.2</v>
      </c>
      <c r="AE26" s="44">
        <v>5.2</v>
      </c>
      <c r="AF26" s="44">
        <v>5</v>
      </c>
      <c r="AG26" s="44">
        <v>4.4000000000000004</v>
      </c>
      <c r="AH26" s="44">
        <v>3.4</v>
      </c>
      <c r="AI26" s="44">
        <v>4.2</v>
      </c>
      <c r="AJ26" s="44">
        <v>3.1</v>
      </c>
      <c r="AK26" s="44">
        <v>3.8</v>
      </c>
      <c r="AL26" s="44">
        <v>3.3</v>
      </c>
      <c r="AM26" s="44">
        <v>3.1</v>
      </c>
      <c r="AN26" s="44">
        <v>2.8</v>
      </c>
      <c r="AO26" s="23">
        <v>2.7</v>
      </c>
      <c r="AP26" s="23">
        <v>2.8</v>
      </c>
      <c r="AQ26" s="4">
        <v>2.4</v>
      </c>
      <c r="AR26" s="23">
        <v>2</v>
      </c>
      <c r="AS26" s="23">
        <v>2.2000000000000002</v>
      </c>
      <c r="AT26" s="23">
        <v>2.5</v>
      </c>
      <c r="AU26" s="23">
        <v>2</v>
      </c>
      <c r="AV26" s="23">
        <v>1.8</v>
      </c>
      <c r="AW26" s="23">
        <v>1.8</v>
      </c>
      <c r="AX26" s="4">
        <v>1.9</v>
      </c>
      <c r="AY26" s="4">
        <v>2</v>
      </c>
      <c r="AZ26" s="4">
        <v>1.8</v>
      </c>
      <c r="BA26" s="4">
        <v>1.6</v>
      </c>
      <c r="BB26" s="4">
        <v>1.7</v>
      </c>
      <c r="BC26" s="4">
        <v>1.9</v>
      </c>
      <c r="BD26" s="4">
        <v>1.7</v>
      </c>
      <c r="BE26" s="4">
        <v>2.1</v>
      </c>
      <c r="BF26" s="4">
        <v>2.2000000000000002</v>
      </c>
      <c r="BG26" s="23">
        <v>2</v>
      </c>
      <c r="BH26" s="23">
        <v>1.9</v>
      </c>
      <c r="BI26" s="23">
        <v>2.2000000000000002</v>
      </c>
      <c r="BJ26" s="23">
        <v>1.9</v>
      </c>
      <c r="BK26" s="4">
        <v>1.7</v>
      </c>
      <c r="BL26" s="23">
        <v>1.9</v>
      </c>
      <c r="BM26" s="4">
        <v>1.9</v>
      </c>
      <c r="BN26" s="4">
        <v>1.4</v>
      </c>
      <c r="BO26" s="4">
        <v>1.6</v>
      </c>
      <c r="BP26" s="55">
        <v>1.6</v>
      </c>
      <c r="BQ26" s="66">
        <v>1.3</v>
      </c>
    </row>
    <row r="27" spans="1:69" s="7" customFormat="1" x14ac:dyDescent="0.15">
      <c r="A27" s="16" t="s">
        <v>49</v>
      </c>
      <c r="B27" s="44">
        <v>48.9</v>
      </c>
      <c r="C27" s="44">
        <v>44.6</v>
      </c>
      <c r="D27" s="44">
        <v>44.1</v>
      </c>
      <c r="E27" s="44">
        <v>40.5</v>
      </c>
      <c r="F27" s="44">
        <v>33.9</v>
      </c>
      <c r="G27" s="44">
        <v>33.9</v>
      </c>
      <c r="H27" s="44">
        <v>28.9</v>
      </c>
      <c r="I27" s="44">
        <v>31.4</v>
      </c>
      <c r="J27" s="44">
        <v>25</v>
      </c>
      <c r="K27" s="44">
        <v>26.1</v>
      </c>
      <c r="L27" s="44">
        <v>23.1</v>
      </c>
      <c r="M27" s="44">
        <v>22.2</v>
      </c>
      <c r="N27" s="44">
        <v>18</v>
      </c>
      <c r="O27" s="44">
        <v>18</v>
      </c>
      <c r="P27" s="44">
        <v>18.399999999999999</v>
      </c>
      <c r="Q27" s="44">
        <v>18</v>
      </c>
      <c r="R27" s="44">
        <v>14.5</v>
      </c>
      <c r="S27" s="44">
        <v>14</v>
      </c>
      <c r="T27" s="44">
        <v>12</v>
      </c>
      <c r="U27" s="44">
        <v>12.7</v>
      </c>
      <c r="V27" s="44">
        <v>10.6</v>
      </c>
      <c r="W27" s="44">
        <v>9.9</v>
      </c>
      <c r="X27" s="44">
        <v>9.1</v>
      </c>
      <c r="Y27" s="44">
        <v>8</v>
      </c>
      <c r="Z27" s="44">
        <v>6.1</v>
      </c>
      <c r="AA27" s="44">
        <v>6.1</v>
      </c>
      <c r="AB27" s="44">
        <v>4.9000000000000004</v>
      </c>
      <c r="AC27" s="44">
        <v>5.0999999999999996</v>
      </c>
      <c r="AD27" s="44">
        <v>4.4000000000000004</v>
      </c>
      <c r="AE27" s="44">
        <v>3.9</v>
      </c>
      <c r="AF27" s="44">
        <v>4.0999999999999996</v>
      </c>
      <c r="AG27" s="44">
        <v>3.5</v>
      </c>
      <c r="AH27" s="44">
        <v>3.9</v>
      </c>
      <c r="AI27" s="44">
        <v>3.2</v>
      </c>
      <c r="AJ27" s="44">
        <v>2.5</v>
      </c>
      <c r="AK27" s="44">
        <v>3</v>
      </c>
      <c r="AL27" s="44">
        <v>3.2</v>
      </c>
      <c r="AM27" s="44">
        <v>3.6</v>
      </c>
      <c r="AN27" s="44">
        <v>2.2000000000000002</v>
      </c>
      <c r="AO27" s="23">
        <v>2.7</v>
      </c>
      <c r="AP27" s="23">
        <v>2.6</v>
      </c>
      <c r="AQ27" s="4">
        <v>2.5</v>
      </c>
      <c r="AR27" s="23">
        <v>2.1</v>
      </c>
      <c r="AS27" s="23">
        <v>3</v>
      </c>
      <c r="AT27" s="23">
        <v>2.9</v>
      </c>
      <c r="AU27" s="23">
        <v>2</v>
      </c>
      <c r="AV27" s="23">
        <v>1.9</v>
      </c>
      <c r="AW27" s="23">
        <v>2.2000000000000002</v>
      </c>
      <c r="AX27" s="4">
        <v>2</v>
      </c>
      <c r="AY27" s="4">
        <v>1.5</v>
      </c>
      <c r="AZ27" s="4">
        <v>2.2000000000000002</v>
      </c>
      <c r="BA27" s="4">
        <v>1.8</v>
      </c>
      <c r="BB27" s="4">
        <v>2</v>
      </c>
      <c r="BC27" s="4">
        <v>1.4</v>
      </c>
      <c r="BD27" s="4">
        <v>1.4</v>
      </c>
      <c r="BE27" s="4">
        <v>1.3</v>
      </c>
      <c r="BF27" s="4">
        <v>1.7</v>
      </c>
      <c r="BG27" s="23">
        <v>1.5</v>
      </c>
      <c r="BH27" s="23">
        <v>1.5</v>
      </c>
      <c r="BI27" s="23">
        <v>1.5</v>
      </c>
      <c r="BJ27" s="23">
        <v>2.2000000000000002</v>
      </c>
      <c r="BK27" s="4">
        <v>1.3</v>
      </c>
      <c r="BL27" s="23">
        <v>2.1</v>
      </c>
      <c r="BM27" s="4">
        <v>2.1</v>
      </c>
      <c r="BN27" s="4">
        <v>2.2000000000000002</v>
      </c>
      <c r="BO27" s="4">
        <v>1.5</v>
      </c>
      <c r="BP27" s="55">
        <v>1.3</v>
      </c>
      <c r="BQ27" s="66">
        <v>1.4</v>
      </c>
    </row>
    <row r="28" spans="1:69" s="7" customFormat="1" x14ac:dyDescent="0.15">
      <c r="A28" s="16" t="s">
        <v>50</v>
      </c>
      <c r="B28" s="44">
        <v>51.3</v>
      </c>
      <c r="C28" s="44">
        <v>48.5</v>
      </c>
      <c r="D28" s="44">
        <v>46.1</v>
      </c>
      <c r="E28" s="44">
        <v>35.299999999999997</v>
      </c>
      <c r="F28" s="44">
        <v>38.200000000000003</v>
      </c>
      <c r="G28" s="44">
        <v>31.2</v>
      </c>
      <c r="H28" s="44">
        <v>30.4</v>
      </c>
      <c r="I28" s="44">
        <v>27.6</v>
      </c>
      <c r="J28" s="44">
        <v>24.8</v>
      </c>
      <c r="K28" s="44">
        <v>24.1</v>
      </c>
      <c r="L28" s="44">
        <v>22</v>
      </c>
      <c r="M28" s="44">
        <v>21</v>
      </c>
      <c r="N28" s="44">
        <v>20.100000000000001</v>
      </c>
      <c r="O28" s="44">
        <v>19.2</v>
      </c>
      <c r="P28" s="44">
        <v>18.2</v>
      </c>
      <c r="Q28" s="44">
        <v>14.6</v>
      </c>
      <c r="R28" s="44">
        <v>14</v>
      </c>
      <c r="S28" s="44">
        <v>12.2</v>
      </c>
      <c r="T28" s="44">
        <v>9.1999999999999993</v>
      </c>
      <c r="U28" s="44">
        <v>9.5</v>
      </c>
      <c r="V28" s="44">
        <v>8.6999999999999993</v>
      </c>
      <c r="W28" s="44">
        <v>8.1</v>
      </c>
      <c r="X28" s="44">
        <v>7.4</v>
      </c>
      <c r="Y28" s="44">
        <v>6.1</v>
      </c>
      <c r="Z28" s="44">
        <v>6.2</v>
      </c>
      <c r="AA28" s="44">
        <v>5.0999999999999996</v>
      </c>
      <c r="AB28" s="44">
        <v>5.8</v>
      </c>
      <c r="AC28" s="44">
        <v>5.0999999999999996</v>
      </c>
      <c r="AD28" s="44">
        <v>4.5999999999999996</v>
      </c>
      <c r="AE28" s="44">
        <v>5.5</v>
      </c>
      <c r="AF28" s="44">
        <v>3.4</v>
      </c>
      <c r="AG28" s="44">
        <v>3.3</v>
      </c>
      <c r="AH28" s="44">
        <v>4.7</v>
      </c>
      <c r="AI28" s="44">
        <v>3.1</v>
      </c>
      <c r="AJ28" s="44">
        <v>2.6</v>
      </c>
      <c r="AK28" s="44">
        <v>2.9</v>
      </c>
      <c r="AL28" s="44">
        <v>1.4</v>
      </c>
      <c r="AM28" s="44">
        <v>1.9</v>
      </c>
      <c r="AN28" s="44">
        <v>2.5</v>
      </c>
      <c r="AO28" s="23">
        <v>2.5</v>
      </c>
      <c r="AP28" s="23">
        <v>1.8</v>
      </c>
      <c r="AQ28" s="4">
        <v>1.3</v>
      </c>
      <c r="AR28" s="23">
        <v>1.6</v>
      </c>
      <c r="AS28" s="23">
        <v>2.2000000000000002</v>
      </c>
      <c r="AT28" s="23">
        <v>1.7</v>
      </c>
      <c r="AU28" s="23">
        <v>1.9</v>
      </c>
      <c r="AV28" s="23">
        <v>1.7</v>
      </c>
      <c r="AW28" s="23">
        <v>2.2000000000000002</v>
      </c>
      <c r="AX28" s="4">
        <v>1</v>
      </c>
      <c r="AY28" s="4">
        <v>1.3</v>
      </c>
      <c r="AZ28" s="4">
        <v>1.7</v>
      </c>
      <c r="BA28" s="4">
        <v>1.8</v>
      </c>
      <c r="BB28" s="4">
        <v>1.3</v>
      </c>
      <c r="BC28" s="4">
        <v>1.8</v>
      </c>
      <c r="BD28" s="4">
        <v>1</v>
      </c>
      <c r="BE28" s="4">
        <v>1.4</v>
      </c>
      <c r="BF28" s="4">
        <v>1.6</v>
      </c>
      <c r="BG28" s="23">
        <v>1.1000000000000001</v>
      </c>
      <c r="BH28" s="23">
        <v>1.3</v>
      </c>
      <c r="BI28" s="23">
        <v>0.5</v>
      </c>
      <c r="BJ28" s="23">
        <v>1.7</v>
      </c>
      <c r="BK28" s="4">
        <v>0.9</v>
      </c>
      <c r="BL28" s="23">
        <v>1.2</v>
      </c>
      <c r="BM28" s="4">
        <v>1.4</v>
      </c>
      <c r="BN28" s="4">
        <v>1.4</v>
      </c>
      <c r="BO28" s="4">
        <v>0.9</v>
      </c>
      <c r="BP28" s="55">
        <v>0.9</v>
      </c>
      <c r="BQ28" s="66">
        <v>1.2</v>
      </c>
    </row>
    <row r="29" spans="1:69" s="7" customFormat="1" x14ac:dyDescent="0.15">
      <c r="A29" s="16" t="s">
        <v>51</v>
      </c>
      <c r="B29" s="44">
        <v>56.8</v>
      </c>
      <c r="C29" s="44">
        <v>51.5</v>
      </c>
      <c r="D29" s="44">
        <v>50.6</v>
      </c>
      <c r="E29" s="44">
        <v>43.7</v>
      </c>
      <c r="F29" s="44">
        <v>39.200000000000003</v>
      </c>
      <c r="G29" s="44">
        <v>34.9</v>
      </c>
      <c r="H29" s="44">
        <v>31.1</v>
      </c>
      <c r="I29" s="44">
        <v>33.4</v>
      </c>
      <c r="J29" s="44">
        <v>26.5</v>
      </c>
      <c r="K29" s="44">
        <v>27</v>
      </c>
      <c r="L29" s="44">
        <v>25.3</v>
      </c>
      <c r="M29" s="44">
        <v>22.5</v>
      </c>
      <c r="N29" s="44">
        <v>22.6</v>
      </c>
      <c r="O29" s="44">
        <v>18.100000000000001</v>
      </c>
      <c r="P29" s="44">
        <v>19.7</v>
      </c>
      <c r="Q29" s="44">
        <v>17.2</v>
      </c>
      <c r="R29" s="44">
        <v>15.9</v>
      </c>
      <c r="S29" s="44">
        <v>14.6</v>
      </c>
      <c r="T29" s="44">
        <v>13</v>
      </c>
      <c r="U29" s="44">
        <v>13</v>
      </c>
      <c r="V29" s="44">
        <v>9.9</v>
      </c>
      <c r="W29" s="44">
        <v>10.5</v>
      </c>
      <c r="X29" s="44">
        <v>9.5</v>
      </c>
      <c r="Y29" s="44">
        <v>9.1</v>
      </c>
      <c r="Z29" s="44">
        <v>7.4</v>
      </c>
      <c r="AA29" s="44">
        <v>6.7</v>
      </c>
      <c r="AB29" s="44">
        <v>5.9</v>
      </c>
      <c r="AC29" s="44">
        <v>5.3</v>
      </c>
      <c r="AD29" s="44">
        <v>5.4</v>
      </c>
      <c r="AE29" s="44">
        <v>4.4000000000000004</v>
      </c>
      <c r="AF29" s="44">
        <v>5</v>
      </c>
      <c r="AG29" s="44">
        <v>4.2</v>
      </c>
      <c r="AH29" s="44">
        <v>4</v>
      </c>
      <c r="AI29" s="44">
        <v>3</v>
      </c>
      <c r="AJ29" s="44">
        <v>3.2</v>
      </c>
      <c r="AK29" s="44">
        <v>3.9</v>
      </c>
      <c r="AL29" s="44">
        <v>3.2</v>
      </c>
      <c r="AM29" s="44">
        <v>3</v>
      </c>
      <c r="AN29" s="44">
        <v>2.7</v>
      </c>
      <c r="AO29" s="23">
        <v>3</v>
      </c>
      <c r="AP29" s="23">
        <v>2.8</v>
      </c>
      <c r="AQ29" s="4">
        <v>2.2000000000000002</v>
      </c>
      <c r="AR29" s="23">
        <v>2.1</v>
      </c>
      <c r="AS29" s="23">
        <v>2.5</v>
      </c>
      <c r="AT29" s="23">
        <v>2</v>
      </c>
      <c r="AU29" s="23">
        <v>2.1</v>
      </c>
      <c r="AV29" s="23">
        <v>2.2000000000000002</v>
      </c>
      <c r="AW29" s="23">
        <v>1.8</v>
      </c>
      <c r="AX29" s="4">
        <v>2</v>
      </c>
      <c r="AY29" s="4">
        <v>1.8</v>
      </c>
      <c r="AZ29" s="4">
        <v>1.7</v>
      </c>
      <c r="BA29" s="4">
        <v>1.6</v>
      </c>
      <c r="BB29" s="4">
        <v>1.4</v>
      </c>
      <c r="BC29" s="4">
        <v>1.7</v>
      </c>
      <c r="BD29" s="4">
        <v>2.1</v>
      </c>
      <c r="BE29" s="4">
        <v>1.4</v>
      </c>
      <c r="BF29" s="4">
        <v>2</v>
      </c>
      <c r="BG29" s="23">
        <v>1.7</v>
      </c>
      <c r="BH29" s="23">
        <v>1.5</v>
      </c>
      <c r="BI29" s="23">
        <v>2.2999999999999998</v>
      </c>
      <c r="BJ29" s="23">
        <v>2</v>
      </c>
      <c r="BK29" s="4">
        <v>1.9</v>
      </c>
      <c r="BL29" s="23">
        <v>2.1</v>
      </c>
      <c r="BM29" s="4">
        <v>2.2999999999999998</v>
      </c>
      <c r="BN29" s="4">
        <v>2.5</v>
      </c>
      <c r="BO29" s="4">
        <v>1.7</v>
      </c>
      <c r="BP29" s="55">
        <v>2.1</v>
      </c>
      <c r="BQ29" s="66">
        <v>1.6</v>
      </c>
    </row>
    <row r="30" spans="1:69" s="7" customFormat="1" x14ac:dyDescent="0.15">
      <c r="A30" s="16" t="s">
        <v>52</v>
      </c>
      <c r="B30" s="44">
        <v>66.3</v>
      </c>
      <c r="C30" s="44">
        <v>64.5</v>
      </c>
      <c r="D30" s="44">
        <v>60.2</v>
      </c>
      <c r="E30" s="44">
        <v>50</v>
      </c>
      <c r="F30" s="44">
        <v>44</v>
      </c>
      <c r="G30" s="44">
        <v>44.7</v>
      </c>
      <c r="H30" s="44">
        <v>36.4</v>
      </c>
      <c r="I30" s="44">
        <v>37.1</v>
      </c>
      <c r="J30" s="44">
        <v>29.4</v>
      </c>
      <c r="K30" s="44">
        <v>29.1</v>
      </c>
      <c r="L30" s="44">
        <v>27</v>
      </c>
      <c r="M30" s="44">
        <v>25</v>
      </c>
      <c r="N30" s="44">
        <v>21.7</v>
      </c>
      <c r="O30" s="44">
        <v>20.7</v>
      </c>
      <c r="P30" s="44">
        <v>20.7</v>
      </c>
      <c r="Q30" s="44">
        <v>18.600000000000001</v>
      </c>
      <c r="R30" s="44">
        <v>15.9</v>
      </c>
      <c r="S30" s="44">
        <v>14.3</v>
      </c>
      <c r="T30" s="44">
        <v>12.6</v>
      </c>
      <c r="U30" s="44">
        <v>11.8</v>
      </c>
      <c r="V30" s="44">
        <v>10.3</v>
      </c>
      <c r="W30" s="44">
        <v>10.1</v>
      </c>
      <c r="X30" s="44">
        <v>8.9</v>
      </c>
      <c r="Y30" s="44">
        <v>7.9</v>
      </c>
      <c r="Z30" s="44">
        <v>6.3</v>
      </c>
      <c r="AA30" s="44">
        <v>6.4</v>
      </c>
      <c r="AB30" s="44">
        <v>5.9</v>
      </c>
      <c r="AC30" s="44">
        <v>5.3</v>
      </c>
      <c r="AD30" s="44">
        <v>5.5</v>
      </c>
      <c r="AE30" s="44">
        <v>4.8</v>
      </c>
      <c r="AF30" s="44">
        <v>4.4000000000000004</v>
      </c>
      <c r="AG30" s="44">
        <v>4.0999999999999996</v>
      </c>
      <c r="AH30" s="44">
        <v>3.7</v>
      </c>
      <c r="AI30" s="44">
        <v>3.7</v>
      </c>
      <c r="AJ30" s="44">
        <v>3.5</v>
      </c>
      <c r="AK30" s="44">
        <v>3.5</v>
      </c>
      <c r="AL30" s="44">
        <v>3.2</v>
      </c>
      <c r="AM30" s="44">
        <v>3.4</v>
      </c>
      <c r="AN30" s="44">
        <v>3.4</v>
      </c>
      <c r="AO30" s="23">
        <v>3.1</v>
      </c>
      <c r="AP30" s="23">
        <v>3.3</v>
      </c>
      <c r="AQ30" s="4">
        <v>3.6</v>
      </c>
      <c r="AR30" s="23">
        <v>3.3</v>
      </c>
      <c r="AS30" s="23">
        <v>3.8</v>
      </c>
      <c r="AT30" s="23">
        <v>4</v>
      </c>
      <c r="AU30" s="23">
        <v>3.3</v>
      </c>
      <c r="AV30" s="23">
        <v>3</v>
      </c>
      <c r="AW30" s="23">
        <v>2.8</v>
      </c>
      <c r="AX30" s="4">
        <v>3.1</v>
      </c>
      <c r="AY30" s="4">
        <v>2.8</v>
      </c>
      <c r="AZ30" s="4">
        <v>2.6</v>
      </c>
      <c r="BA30" s="4">
        <v>2.8</v>
      </c>
      <c r="BB30" s="4">
        <v>2.6</v>
      </c>
      <c r="BC30" s="4">
        <v>2.5</v>
      </c>
      <c r="BD30" s="4">
        <v>2.5</v>
      </c>
      <c r="BE30" s="4">
        <v>2</v>
      </c>
      <c r="BF30" s="4">
        <v>2.5</v>
      </c>
      <c r="BG30" s="23">
        <v>2.5</v>
      </c>
      <c r="BH30" s="23">
        <v>2.9</v>
      </c>
      <c r="BI30" s="23">
        <v>2.8</v>
      </c>
      <c r="BJ30" s="23">
        <v>2.7</v>
      </c>
      <c r="BK30" s="4">
        <v>2.7</v>
      </c>
      <c r="BL30" s="23">
        <v>3.3</v>
      </c>
      <c r="BM30" s="4">
        <v>2.9</v>
      </c>
      <c r="BN30" s="4">
        <v>2.6</v>
      </c>
      <c r="BO30" s="4">
        <v>2.2999999999999998</v>
      </c>
      <c r="BP30" s="55">
        <v>2.2000000000000002</v>
      </c>
      <c r="BQ30" s="66">
        <v>1.6</v>
      </c>
    </row>
    <row r="31" spans="1:69" s="7" customFormat="1" x14ac:dyDescent="0.15">
      <c r="A31" s="16" t="s">
        <v>53</v>
      </c>
      <c r="B31" s="44">
        <v>63</v>
      </c>
      <c r="C31" s="44">
        <v>59.6</v>
      </c>
      <c r="D31" s="44">
        <v>59.5</v>
      </c>
      <c r="E31" s="44">
        <v>48.2</v>
      </c>
      <c r="F31" s="44">
        <v>45.6</v>
      </c>
      <c r="G31" s="44">
        <v>43.3</v>
      </c>
      <c r="H31" s="44">
        <v>36</v>
      </c>
      <c r="I31" s="44">
        <v>35.6</v>
      </c>
      <c r="J31" s="44">
        <v>29.6</v>
      </c>
      <c r="K31" s="44">
        <v>29.9</v>
      </c>
      <c r="L31" s="44">
        <v>27.8</v>
      </c>
      <c r="M31" s="44">
        <v>24.6</v>
      </c>
      <c r="N31" s="44">
        <v>23.5</v>
      </c>
      <c r="O31" s="44">
        <v>21.2</v>
      </c>
      <c r="P31" s="44">
        <v>19.600000000000001</v>
      </c>
      <c r="Q31" s="44">
        <v>19</v>
      </c>
      <c r="R31" s="44">
        <v>17</v>
      </c>
      <c r="S31" s="44">
        <v>14.9</v>
      </c>
      <c r="T31" s="44">
        <v>13.9</v>
      </c>
      <c r="U31" s="44">
        <v>14.1</v>
      </c>
      <c r="V31" s="44">
        <v>11.7</v>
      </c>
      <c r="W31" s="44">
        <v>10.8</v>
      </c>
      <c r="X31" s="44">
        <v>9.5</v>
      </c>
      <c r="Y31" s="44">
        <v>8.5</v>
      </c>
      <c r="Z31" s="44">
        <v>7.7</v>
      </c>
      <c r="AA31" s="44">
        <v>5.8</v>
      </c>
      <c r="AB31" s="44">
        <v>6</v>
      </c>
      <c r="AC31" s="44">
        <v>5.7</v>
      </c>
      <c r="AD31" s="44">
        <v>5.8</v>
      </c>
      <c r="AE31" s="44">
        <v>5.5</v>
      </c>
      <c r="AF31" s="44">
        <v>5.0999999999999996</v>
      </c>
      <c r="AG31" s="44">
        <v>4.2</v>
      </c>
      <c r="AH31" s="44">
        <v>3.9</v>
      </c>
      <c r="AI31" s="44">
        <v>4</v>
      </c>
      <c r="AJ31" s="44">
        <v>3.3</v>
      </c>
      <c r="AK31" s="44">
        <v>3.6</v>
      </c>
      <c r="AL31" s="44">
        <v>3.7</v>
      </c>
      <c r="AM31" s="44">
        <v>3.8</v>
      </c>
      <c r="AN31" s="44">
        <v>3.3</v>
      </c>
      <c r="AO31" s="23">
        <v>3</v>
      </c>
      <c r="AP31" s="23">
        <v>3.3</v>
      </c>
      <c r="AQ31" s="4">
        <v>2.9</v>
      </c>
      <c r="AR31" s="23">
        <v>3.1</v>
      </c>
      <c r="AS31" s="23">
        <v>2.9</v>
      </c>
      <c r="AT31" s="23">
        <v>2.4</v>
      </c>
      <c r="AU31" s="23">
        <v>2.2999999999999998</v>
      </c>
      <c r="AV31" s="23">
        <v>2.2000000000000002</v>
      </c>
      <c r="AW31" s="23">
        <v>1.7</v>
      </c>
      <c r="AX31" s="4">
        <v>2.2000000000000002</v>
      </c>
      <c r="AY31" s="4">
        <v>1.7</v>
      </c>
      <c r="AZ31" s="4">
        <v>1.8</v>
      </c>
      <c r="BA31" s="4">
        <v>2.2000000000000002</v>
      </c>
      <c r="BB31" s="4">
        <v>2.1</v>
      </c>
      <c r="BC31" s="4">
        <v>2.5</v>
      </c>
      <c r="BD31" s="4">
        <v>1.9</v>
      </c>
      <c r="BE31" s="4">
        <v>2</v>
      </c>
      <c r="BF31" s="4">
        <v>2</v>
      </c>
      <c r="BG31" s="23">
        <v>1.7</v>
      </c>
      <c r="BH31" s="23">
        <v>1.6</v>
      </c>
      <c r="BI31" s="23">
        <v>2.1</v>
      </c>
      <c r="BJ31" s="23">
        <v>1.9</v>
      </c>
      <c r="BK31" s="4">
        <v>1.7</v>
      </c>
      <c r="BL31" s="23">
        <v>2.7</v>
      </c>
      <c r="BM31" s="4">
        <v>1.8</v>
      </c>
      <c r="BN31" s="4">
        <v>2</v>
      </c>
      <c r="BO31" s="4">
        <v>1.8</v>
      </c>
      <c r="BP31" s="55">
        <v>1.9</v>
      </c>
      <c r="BQ31" s="66">
        <v>1.8</v>
      </c>
    </row>
    <row r="32" spans="1:69" s="7" customFormat="1" x14ac:dyDescent="0.15">
      <c r="A32" s="16" t="s">
        <v>54</v>
      </c>
      <c r="B32" s="44">
        <v>49</v>
      </c>
      <c r="C32" s="44">
        <v>43.3</v>
      </c>
      <c r="D32" s="44">
        <v>44.7</v>
      </c>
      <c r="E32" s="44">
        <v>41</v>
      </c>
      <c r="F32" s="44">
        <v>38</v>
      </c>
      <c r="G32" s="44">
        <v>36.700000000000003</v>
      </c>
      <c r="H32" s="44">
        <v>31.7</v>
      </c>
      <c r="I32" s="44">
        <v>28.4</v>
      </c>
      <c r="J32" s="44">
        <v>25.3</v>
      </c>
      <c r="K32" s="44">
        <v>24.9</v>
      </c>
      <c r="L32" s="44">
        <v>23.6</v>
      </c>
      <c r="M32" s="44">
        <v>21.3</v>
      </c>
      <c r="N32" s="44">
        <v>18.7</v>
      </c>
      <c r="O32" s="44">
        <v>20</v>
      </c>
      <c r="P32" s="44">
        <v>19.8</v>
      </c>
      <c r="Q32" s="44">
        <v>16.8</v>
      </c>
      <c r="R32" s="44">
        <v>11.9</v>
      </c>
      <c r="S32" s="44">
        <v>9.6</v>
      </c>
      <c r="T32" s="44">
        <v>11.7</v>
      </c>
      <c r="U32" s="44">
        <v>10.1</v>
      </c>
      <c r="V32" s="44">
        <v>9.6999999999999993</v>
      </c>
      <c r="W32" s="44">
        <v>7.6</v>
      </c>
      <c r="X32" s="44">
        <v>6.9</v>
      </c>
      <c r="Y32" s="44">
        <v>6.2</v>
      </c>
      <c r="Z32" s="44">
        <v>7.2</v>
      </c>
      <c r="AA32" s="44">
        <v>5.0999999999999996</v>
      </c>
      <c r="AB32" s="44">
        <v>4.0999999999999996</v>
      </c>
      <c r="AC32" s="44">
        <v>3.1</v>
      </c>
      <c r="AD32" s="44">
        <v>3.2</v>
      </c>
      <c r="AE32" s="44">
        <v>2.6</v>
      </c>
      <c r="AF32" s="44">
        <v>3.4</v>
      </c>
      <c r="AG32" s="44">
        <v>2.2000000000000002</v>
      </c>
      <c r="AH32" s="44">
        <v>2.9</v>
      </c>
      <c r="AI32" s="44">
        <v>2.5</v>
      </c>
      <c r="AJ32" s="44">
        <v>2.9</v>
      </c>
      <c r="AK32" s="44">
        <v>2.5</v>
      </c>
      <c r="AL32" s="44">
        <v>2.4</v>
      </c>
      <c r="AM32" s="44">
        <v>1.9</v>
      </c>
      <c r="AN32" s="44">
        <v>2.6</v>
      </c>
      <c r="AO32" s="23">
        <v>2</v>
      </c>
      <c r="AP32" s="23">
        <v>2.4</v>
      </c>
      <c r="AQ32" s="4">
        <v>1.9</v>
      </c>
      <c r="AR32" s="23">
        <v>1.8</v>
      </c>
      <c r="AS32" s="23">
        <v>2</v>
      </c>
      <c r="AT32" s="23">
        <v>1.9</v>
      </c>
      <c r="AU32" s="23">
        <v>1.9</v>
      </c>
      <c r="AV32" s="23">
        <v>1.4</v>
      </c>
      <c r="AW32" s="23">
        <v>1.5</v>
      </c>
      <c r="AX32" s="4">
        <v>1.5</v>
      </c>
      <c r="AY32" s="4">
        <v>2</v>
      </c>
      <c r="AZ32" s="4">
        <v>1</v>
      </c>
      <c r="BA32" s="4">
        <v>1</v>
      </c>
      <c r="BB32" s="4">
        <v>1.1000000000000001</v>
      </c>
      <c r="BC32" s="4">
        <v>1</v>
      </c>
      <c r="BD32" s="4">
        <v>0.9</v>
      </c>
      <c r="BE32" s="4">
        <v>1.2</v>
      </c>
      <c r="BF32" s="4">
        <v>1.4</v>
      </c>
      <c r="BG32" s="23">
        <v>2</v>
      </c>
      <c r="BH32" s="23">
        <v>1.3</v>
      </c>
      <c r="BI32" s="23">
        <v>1.5</v>
      </c>
      <c r="BJ32" s="23">
        <v>1.3</v>
      </c>
      <c r="BK32" s="4">
        <v>1.2</v>
      </c>
      <c r="BL32" s="23">
        <v>2</v>
      </c>
      <c r="BM32" s="4">
        <v>1.1000000000000001</v>
      </c>
      <c r="BN32" s="4">
        <v>2.6</v>
      </c>
      <c r="BO32" s="4">
        <v>1.1000000000000001</v>
      </c>
      <c r="BP32" s="55">
        <v>1.5</v>
      </c>
      <c r="BQ32" s="66">
        <v>1.5</v>
      </c>
    </row>
    <row r="33" spans="1:69" s="7" customFormat="1" x14ac:dyDescent="0.15">
      <c r="A33" s="16" t="s">
        <v>55</v>
      </c>
      <c r="B33" s="44">
        <v>55.3</v>
      </c>
      <c r="C33" s="44">
        <v>54.1</v>
      </c>
      <c r="D33" s="44">
        <v>52.3</v>
      </c>
      <c r="E33" s="44">
        <v>46.2</v>
      </c>
      <c r="F33" s="44">
        <v>43.4</v>
      </c>
      <c r="G33" s="44">
        <v>41</v>
      </c>
      <c r="H33" s="44">
        <v>38.6</v>
      </c>
      <c r="I33" s="44">
        <v>35.5</v>
      </c>
      <c r="J33" s="44">
        <v>30.5</v>
      </c>
      <c r="K33" s="44">
        <v>26.4</v>
      </c>
      <c r="L33" s="44">
        <v>27.9</v>
      </c>
      <c r="M33" s="44">
        <v>26.3</v>
      </c>
      <c r="N33" s="44">
        <v>22.9</v>
      </c>
      <c r="O33" s="44">
        <v>19.3</v>
      </c>
      <c r="P33" s="44">
        <v>20.8</v>
      </c>
      <c r="Q33" s="44">
        <v>21.4</v>
      </c>
      <c r="R33" s="44">
        <v>15.7</v>
      </c>
      <c r="S33" s="44">
        <v>16.8</v>
      </c>
      <c r="T33" s="44">
        <v>13.6</v>
      </c>
      <c r="U33" s="44">
        <v>14.4</v>
      </c>
      <c r="V33" s="44">
        <v>14.7</v>
      </c>
      <c r="W33" s="44">
        <v>18.899999999999999</v>
      </c>
      <c r="X33" s="44">
        <v>10.9</v>
      </c>
      <c r="Y33" s="44">
        <v>11.2</v>
      </c>
      <c r="Z33" s="44">
        <v>9</v>
      </c>
      <c r="AA33" s="44">
        <v>9.1</v>
      </c>
      <c r="AB33" s="44">
        <v>8.1999999999999993</v>
      </c>
      <c r="AC33" s="44">
        <v>9.8000000000000007</v>
      </c>
      <c r="AD33" s="44">
        <v>6.6</v>
      </c>
      <c r="AE33" s="44">
        <v>5.6</v>
      </c>
      <c r="AF33" s="44">
        <v>5.4</v>
      </c>
      <c r="AG33" s="44">
        <v>4.8</v>
      </c>
      <c r="AH33" s="44">
        <v>6</v>
      </c>
      <c r="AI33" s="44">
        <v>4.5999999999999996</v>
      </c>
      <c r="AJ33" s="44">
        <v>3.7</v>
      </c>
      <c r="AK33" s="44">
        <v>3.5</v>
      </c>
      <c r="AL33" s="44">
        <v>2.8</v>
      </c>
      <c r="AM33" s="44">
        <v>4.5999999999999996</v>
      </c>
      <c r="AN33" s="44">
        <v>2.9</v>
      </c>
      <c r="AO33" s="23">
        <v>3.4</v>
      </c>
      <c r="AP33" s="23">
        <v>4.0999999999999996</v>
      </c>
      <c r="AQ33" s="4">
        <v>3.1</v>
      </c>
      <c r="AR33" s="23">
        <v>2.2999999999999998</v>
      </c>
      <c r="AS33" s="23">
        <v>2.2999999999999998</v>
      </c>
      <c r="AT33" s="23">
        <v>3.5</v>
      </c>
      <c r="AU33" s="23">
        <v>2.7</v>
      </c>
      <c r="AV33" s="23">
        <v>2.4</v>
      </c>
      <c r="AW33" s="23">
        <v>1.9</v>
      </c>
      <c r="AX33" s="4">
        <v>1.5</v>
      </c>
      <c r="AY33" s="4">
        <v>2.6</v>
      </c>
      <c r="AZ33" s="4">
        <v>3.1</v>
      </c>
      <c r="BA33" s="4">
        <v>2.2000000000000002</v>
      </c>
      <c r="BB33" s="4">
        <v>1.6</v>
      </c>
      <c r="BC33" s="4">
        <v>2.8</v>
      </c>
      <c r="BD33" s="4">
        <v>1.9</v>
      </c>
      <c r="BE33" s="4">
        <v>2.9</v>
      </c>
      <c r="BF33" s="4">
        <v>3.6</v>
      </c>
      <c r="BG33" s="23">
        <v>3.3</v>
      </c>
      <c r="BH33" s="23">
        <v>2.4</v>
      </c>
      <c r="BI33" s="23">
        <v>1.4</v>
      </c>
      <c r="BJ33" s="23">
        <v>2.5</v>
      </c>
      <c r="BK33" s="4">
        <v>1.7</v>
      </c>
      <c r="BL33" s="23">
        <v>1.7</v>
      </c>
      <c r="BM33" s="4">
        <v>2.6</v>
      </c>
      <c r="BN33" s="4">
        <v>2.2000000000000002</v>
      </c>
      <c r="BO33" s="4">
        <v>1.9</v>
      </c>
      <c r="BP33" s="55">
        <v>1.2</v>
      </c>
      <c r="BQ33" s="66">
        <v>1.3</v>
      </c>
    </row>
    <row r="34" spans="1:69" s="7" customFormat="1" x14ac:dyDescent="0.15">
      <c r="A34" s="16" t="s">
        <v>56</v>
      </c>
      <c r="B34" s="44">
        <v>47.7</v>
      </c>
      <c r="C34" s="44">
        <v>41.4</v>
      </c>
      <c r="D34" s="44">
        <v>45.4</v>
      </c>
      <c r="E34" s="44">
        <v>33</v>
      </c>
      <c r="F34" s="44">
        <v>34</v>
      </c>
      <c r="G34" s="44">
        <v>30.5</v>
      </c>
      <c r="H34" s="44">
        <v>26.5</v>
      </c>
      <c r="I34" s="44">
        <v>26.6</v>
      </c>
      <c r="J34" s="44">
        <v>25.1</v>
      </c>
      <c r="K34" s="44">
        <v>21.9</v>
      </c>
      <c r="L34" s="44">
        <v>20</v>
      </c>
      <c r="M34" s="44">
        <v>19.100000000000001</v>
      </c>
      <c r="N34" s="44">
        <v>13.2</v>
      </c>
      <c r="O34" s="44">
        <v>11.5</v>
      </c>
      <c r="P34" s="44">
        <v>12.6</v>
      </c>
      <c r="Q34" s="44">
        <v>10.5</v>
      </c>
      <c r="R34" s="44">
        <v>8.6</v>
      </c>
      <c r="S34" s="44">
        <v>9.1999999999999993</v>
      </c>
      <c r="T34" s="44">
        <v>8.8000000000000007</v>
      </c>
      <c r="U34" s="44">
        <v>8.6999999999999993</v>
      </c>
      <c r="V34" s="44">
        <v>5.3</v>
      </c>
      <c r="W34" s="44">
        <v>6.5</v>
      </c>
      <c r="X34" s="44">
        <v>6.1</v>
      </c>
      <c r="Y34" s="44">
        <v>7.1</v>
      </c>
      <c r="Z34" s="44">
        <v>4.9000000000000004</v>
      </c>
      <c r="AA34" s="44">
        <v>5.6</v>
      </c>
      <c r="AB34" s="44">
        <v>4.5999999999999996</v>
      </c>
      <c r="AC34" s="44">
        <v>3.6</v>
      </c>
      <c r="AD34" s="44">
        <v>3.8</v>
      </c>
      <c r="AE34" s="44">
        <v>3.8</v>
      </c>
      <c r="AF34" s="44">
        <v>2.6</v>
      </c>
      <c r="AG34" s="44">
        <v>3.6</v>
      </c>
      <c r="AH34" s="44">
        <v>2.4</v>
      </c>
      <c r="AI34" s="44">
        <v>1.8</v>
      </c>
      <c r="AJ34" s="44">
        <v>2.4</v>
      </c>
      <c r="AK34" s="44">
        <v>2.1</v>
      </c>
      <c r="AL34" s="44">
        <v>2</v>
      </c>
      <c r="AM34" s="44">
        <v>1.6</v>
      </c>
      <c r="AN34" s="44">
        <v>2.2999999999999998</v>
      </c>
      <c r="AO34" s="23">
        <v>1.6</v>
      </c>
      <c r="AP34" s="23">
        <v>1.1000000000000001</v>
      </c>
      <c r="AQ34" s="4">
        <v>2</v>
      </c>
      <c r="AR34" s="23">
        <v>1.1000000000000001</v>
      </c>
      <c r="AS34" s="23">
        <v>0.8</v>
      </c>
      <c r="AT34" s="23">
        <v>1.6</v>
      </c>
      <c r="AU34" s="23">
        <v>1.3</v>
      </c>
      <c r="AV34" s="23">
        <v>1.3</v>
      </c>
      <c r="AW34" s="23">
        <v>1.6</v>
      </c>
      <c r="AX34" s="4">
        <v>1.5</v>
      </c>
      <c r="AY34" s="4">
        <v>2.8</v>
      </c>
      <c r="AZ34" s="4">
        <v>2</v>
      </c>
      <c r="BA34" s="4">
        <v>0.8</v>
      </c>
      <c r="BB34" s="4">
        <v>1.7</v>
      </c>
      <c r="BC34" s="4">
        <v>1</v>
      </c>
      <c r="BD34" s="4">
        <v>1.5</v>
      </c>
      <c r="BE34" s="4">
        <v>1.2</v>
      </c>
      <c r="BF34" s="4">
        <v>1.9</v>
      </c>
      <c r="BG34" s="23">
        <v>0.9</v>
      </c>
      <c r="BH34" s="23">
        <v>0.9</v>
      </c>
      <c r="BI34" s="23">
        <v>1.8</v>
      </c>
      <c r="BJ34" s="23">
        <v>1.4</v>
      </c>
      <c r="BK34" s="4">
        <v>1.8</v>
      </c>
      <c r="BL34" s="23">
        <v>1.6</v>
      </c>
      <c r="BM34" s="4">
        <v>1.1000000000000001</v>
      </c>
      <c r="BN34" s="4">
        <v>2.2000000000000002</v>
      </c>
      <c r="BO34" s="4">
        <v>1.8</v>
      </c>
      <c r="BP34" s="55">
        <v>0.7</v>
      </c>
      <c r="BQ34" s="66">
        <v>0.9</v>
      </c>
    </row>
    <row r="35" spans="1:69" s="7" customFormat="1" x14ac:dyDescent="0.15">
      <c r="A35" s="16" t="s">
        <v>57</v>
      </c>
      <c r="B35" s="44">
        <v>56.3</v>
      </c>
      <c r="C35" s="44">
        <v>53.3</v>
      </c>
      <c r="D35" s="44">
        <v>48.5</v>
      </c>
      <c r="E35" s="44">
        <v>41.2</v>
      </c>
      <c r="F35" s="44">
        <v>39.4</v>
      </c>
      <c r="G35" s="44">
        <v>39</v>
      </c>
      <c r="H35" s="44">
        <v>32.799999999999997</v>
      </c>
      <c r="I35" s="44">
        <v>29</v>
      </c>
      <c r="J35" s="44">
        <v>26.4</v>
      </c>
      <c r="K35" s="44">
        <v>30.2</v>
      </c>
      <c r="L35" s="44">
        <v>27.6</v>
      </c>
      <c r="M35" s="44">
        <v>23.6</v>
      </c>
      <c r="N35" s="44">
        <v>22.4</v>
      </c>
      <c r="O35" s="44">
        <v>18.899999999999999</v>
      </c>
      <c r="P35" s="44">
        <v>15.7</v>
      </c>
      <c r="Q35" s="44">
        <v>15.8</v>
      </c>
      <c r="R35" s="44">
        <v>16.600000000000001</v>
      </c>
      <c r="S35" s="44">
        <v>14.8</v>
      </c>
      <c r="T35" s="44">
        <v>12.2</v>
      </c>
      <c r="U35" s="44">
        <v>13</v>
      </c>
      <c r="V35" s="44">
        <v>10.4</v>
      </c>
      <c r="W35" s="44">
        <v>10.6</v>
      </c>
      <c r="X35" s="44">
        <v>6.6</v>
      </c>
      <c r="Y35" s="44">
        <v>9.1</v>
      </c>
      <c r="Z35" s="44">
        <v>5.5</v>
      </c>
      <c r="AA35" s="44">
        <v>4.5999999999999996</v>
      </c>
      <c r="AB35" s="44">
        <v>3.2</v>
      </c>
      <c r="AC35" s="44">
        <v>3.3</v>
      </c>
      <c r="AD35" s="44">
        <v>3.9</v>
      </c>
      <c r="AE35" s="44">
        <v>2.5</v>
      </c>
      <c r="AF35" s="44">
        <v>2.8</v>
      </c>
      <c r="AG35" s="44">
        <v>2</v>
      </c>
      <c r="AH35" s="44">
        <v>1</v>
      </c>
      <c r="AI35" s="44">
        <v>3</v>
      </c>
      <c r="AJ35" s="44">
        <v>2.8</v>
      </c>
      <c r="AK35" s="44">
        <v>1.8</v>
      </c>
      <c r="AL35" s="44">
        <v>1.7</v>
      </c>
      <c r="AM35" s="44">
        <v>2.1</v>
      </c>
      <c r="AN35" s="44">
        <v>1.8</v>
      </c>
      <c r="AO35" s="23">
        <v>1.8</v>
      </c>
      <c r="AP35" s="23">
        <v>1.7</v>
      </c>
      <c r="AQ35" s="4">
        <v>1.6</v>
      </c>
      <c r="AR35" s="23">
        <v>2.5</v>
      </c>
      <c r="AS35" s="23">
        <v>1</v>
      </c>
      <c r="AT35" s="23">
        <v>3.3</v>
      </c>
      <c r="AU35" s="23">
        <v>2.2000000000000002</v>
      </c>
      <c r="AV35" s="23">
        <v>1.7</v>
      </c>
      <c r="AW35" s="23">
        <v>2.2999999999999998</v>
      </c>
      <c r="AX35" s="4">
        <v>2</v>
      </c>
      <c r="AY35" s="4">
        <v>1.5</v>
      </c>
      <c r="AZ35" s="4">
        <v>3.4</v>
      </c>
      <c r="BA35" s="4">
        <v>2</v>
      </c>
      <c r="BB35" s="4">
        <v>1.9</v>
      </c>
      <c r="BC35" s="4">
        <v>2.9</v>
      </c>
      <c r="BD35" s="4">
        <v>2.5</v>
      </c>
      <c r="BE35" s="4">
        <v>1</v>
      </c>
      <c r="BF35" s="4">
        <v>1.6</v>
      </c>
      <c r="BG35" s="23">
        <v>1.4</v>
      </c>
      <c r="BH35" s="23">
        <v>1.9</v>
      </c>
      <c r="BI35" s="23">
        <v>2.2000000000000002</v>
      </c>
      <c r="BJ35" s="23">
        <v>2</v>
      </c>
      <c r="BK35" s="4">
        <v>1.8</v>
      </c>
      <c r="BL35" s="23">
        <v>1.3</v>
      </c>
      <c r="BM35" s="4">
        <v>1.5</v>
      </c>
      <c r="BN35" s="4">
        <v>1.4</v>
      </c>
      <c r="BO35" s="4">
        <v>2.4</v>
      </c>
      <c r="BP35" s="55">
        <v>1.5</v>
      </c>
      <c r="BQ35" s="66">
        <v>1.7</v>
      </c>
    </row>
    <row r="36" spans="1:69" s="7" customFormat="1" x14ac:dyDescent="0.15">
      <c r="A36" s="16" t="s">
        <v>58</v>
      </c>
      <c r="B36" s="44">
        <v>49.5</v>
      </c>
      <c r="C36" s="44">
        <v>48.4</v>
      </c>
      <c r="D36" s="44">
        <v>48.7</v>
      </c>
      <c r="E36" s="44">
        <v>41.4</v>
      </c>
      <c r="F36" s="44">
        <v>35.1</v>
      </c>
      <c r="G36" s="44">
        <v>36</v>
      </c>
      <c r="H36" s="44">
        <v>29.8</v>
      </c>
      <c r="I36" s="44">
        <v>28.8</v>
      </c>
      <c r="J36" s="44">
        <v>26.4</v>
      </c>
      <c r="K36" s="44">
        <v>24</v>
      </c>
      <c r="L36" s="44">
        <v>24.5</v>
      </c>
      <c r="M36" s="44">
        <v>22.7</v>
      </c>
      <c r="N36" s="44">
        <v>17.600000000000001</v>
      </c>
      <c r="O36" s="44">
        <v>18</v>
      </c>
      <c r="P36" s="44">
        <v>18.7</v>
      </c>
      <c r="Q36" s="44">
        <v>17.8</v>
      </c>
      <c r="R36" s="44">
        <v>14.8</v>
      </c>
      <c r="S36" s="44">
        <v>13.3</v>
      </c>
      <c r="T36" s="44">
        <v>12.3</v>
      </c>
      <c r="U36" s="44">
        <v>12.1</v>
      </c>
      <c r="V36" s="44">
        <v>10</v>
      </c>
      <c r="W36" s="44">
        <v>9.3000000000000007</v>
      </c>
      <c r="X36" s="44">
        <v>9.4</v>
      </c>
      <c r="Y36" s="44">
        <v>8.9</v>
      </c>
      <c r="Z36" s="44">
        <v>7.6</v>
      </c>
      <c r="AA36" s="44">
        <v>6</v>
      </c>
      <c r="AB36" s="44">
        <v>5.5</v>
      </c>
      <c r="AC36" s="44">
        <v>4.5999999999999996</v>
      </c>
      <c r="AD36" s="44">
        <v>4.9000000000000004</v>
      </c>
      <c r="AE36" s="44">
        <v>4.5</v>
      </c>
      <c r="AF36" s="44">
        <v>4.8</v>
      </c>
      <c r="AG36" s="44">
        <v>3.6</v>
      </c>
      <c r="AH36" s="44">
        <v>3.3</v>
      </c>
      <c r="AI36" s="44">
        <v>3.4</v>
      </c>
      <c r="AJ36" s="44">
        <v>3.1</v>
      </c>
      <c r="AK36" s="44">
        <v>2.7</v>
      </c>
      <c r="AL36" s="44">
        <v>1.9</v>
      </c>
      <c r="AM36" s="44">
        <v>2.2999999999999998</v>
      </c>
      <c r="AN36" s="44">
        <v>3.1</v>
      </c>
      <c r="AO36" s="23">
        <v>2.8</v>
      </c>
      <c r="AP36" s="23">
        <v>2.2000000000000002</v>
      </c>
      <c r="AQ36" s="4">
        <v>3</v>
      </c>
      <c r="AR36" s="23">
        <v>1.6</v>
      </c>
      <c r="AS36" s="23">
        <v>1.9</v>
      </c>
      <c r="AT36" s="23">
        <v>1.4</v>
      </c>
      <c r="AU36" s="23">
        <v>1.8</v>
      </c>
      <c r="AV36" s="23">
        <v>1.6</v>
      </c>
      <c r="AW36" s="23">
        <v>1.1000000000000001</v>
      </c>
      <c r="AX36" s="4">
        <v>1.2</v>
      </c>
      <c r="AY36" s="4">
        <v>1.7</v>
      </c>
      <c r="AZ36" s="4">
        <v>1.1000000000000001</v>
      </c>
      <c r="BA36" s="4">
        <v>1.1000000000000001</v>
      </c>
      <c r="BB36" s="4">
        <v>1</v>
      </c>
      <c r="BC36" s="4">
        <v>1.2</v>
      </c>
      <c r="BD36" s="4">
        <v>1.1000000000000001</v>
      </c>
      <c r="BE36" s="4">
        <v>1.3</v>
      </c>
      <c r="BF36" s="4">
        <v>1.1000000000000001</v>
      </c>
      <c r="BG36" s="23">
        <v>1</v>
      </c>
      <c r="BH36" s="23">
        <v>1</v>
      </c>
      <c r="BI36" s="23">
        <v>1.6</v>
      </c>
      <c r="BJ36" s="23">
        <v>1.1000000000000001</v>
      </c>
      <c r="BK36" s="4">
        <v>1.5</v>
      </c>
      <c r="BL36" s="23">
        <v>1.9</v>
      </c>
      <c r="BM36" s="4">
        <v>1.6</v>
      </c>
      <c r="BN36" s="4">
        <v>1.2</v>
      </c>
      <c r="BO36" s="4">
        <v>1</v>
      </c>
      <c r="BP36" s="55">
        <v>1.2</v>
      </c>
      <c r="BQ36" s="66">
        <v>1.7</v>
      </c>
    </row>
    <row r="37" spans="1:69" s="7" customFormat="1" x14ac:dyDescent="0.15">
      <c r="A37" s="16" t="s">
        <v>59</v>
      </c>
      <c r="B37" s="44">
        <v>56.2</v>
      </c>
      <c r="C37" s="44">
        <v>49.9</v>
      </c>
      <c r="D37" s="44">
        <v>49.3</v>
      </c>
      <c r="E37" s="44">
        <v>42.5</v>
      </c>
      <c r="F37" s="44">
        <v>36.799999999999997</v>
      </c>
      <c r="G37" s="44">
        <v>38</v>
      </c>
      <c r="H37" s="44">
        <v>33.5</v>
      </c>
      <c r="I37" s="44">
        <v>29.4</v>
      </c>
      <c r="J37" s="44">
        <v>25.2</v>
      </c>
      <c r="K37" s="44">
        <v>24</v>
      </c>
      <c r="L37" s="44">
        <v>22.6</v>
      </c>
      <c r="M37" s="44">
        <v>20.7</v>
      </c>
      <c r="N37" s="44">
        <v>19.899999999999999</v>
      </c>
      <c r="O37" s="44">
        <v>17.899999999999999</v>
      </c>
      <c r="P37" s="44">
        <v>15.3</v>
      </c>
      <c r="Q37" s="44">
        <v>15.4</v>
      </c>
      <c r="R37" s="44">
        <v>14.1</v>
      </c>
      <c r="S37" s="44">
        <v>11.5</v>
      </c>
      <c r="T37" s="44">
        <v>10.4</v>
      </c>
      <c r="U37" s="44">
        <v>8.3000000000000007</v>
      </c>
      <c r="V37" s="44">
        <v>8.5</v>
      </c>
      <c r="W37" s="44">
        <v>7</v>
      </c>
      <c r="X37" s="44">
        <v>6.7</v>
      </c>
      <c r="Y37" s="44">
        <v>7</v>
      </c>
      <c r="Z37" s="44">
        <v>5.8</v>
      </c>
      <c r="AA37" s="44">
        <v>4.8</v>
      </c>
      <c r="AB37" s="44">
        <v>4.3</v>
      </c>
      <c r="AC37" s="44">
        <v>4.2</v>
      </c>
      <c r="AD37" s="44">
        <v>3.9</v>
      </c>
      <c r="AE37" s="44">
        <v>3.9</v>
      </c>
      <c r="AF37" s="44">
        <v>4</v>
      </c>
      <c r="AG37" s="44">
        <v>2.9</v>
      </c>
      <c r="AH37" s="44">
        <v>3</v>
      </c>
      <c r="AI37" s="44">
        <v>3.4</v>
      </c>
      <c r="AJ37" s="44">
        <v>2.8</v>
      </c>
      <c r="AK37" s="44">
        <v>2.2999999999999998</v>
      </c>
      <c r="AL37" s="44">
        <v>2.6</v>
      </c>
      <c r="AM37" s="44">
        <v>1.8</v>
      </c>
      <c r="AN37" s="44">
        <v>1.7</v>
      </c>
      <c r="AO37" s="23">
        <v>2.2999999999999998</v>
      </c>
      <c r="AP37" s="23">
        <v>1.8</v>
      </c>
      <c r="AQ37" s="4">
        <v>1.9</v>
      </c>
      <c r="AR37" s="23">
        <v>1.7</v>
      </c>
      <c r="AS37" s="23">
        <v>2</v>
      </c>
      <c r="AT37" s="23">
        <v>2.1</v>
      </c>
      <c r="AU37" s="23">
        <v>2</v>
      </c>
      <c r="AV37" s="23">
        <v>1.5</v>
      </c>
      <c r="AW37" s="23">
        <v>1.5</v>
      </c>
      <c r="AX37" s="4">
        <v>1.6</v>
      </c>
      <c r="AY37" s="4">
        <v>1.6</v>
      </c>
      <c r="AZ37" s="4">
        <v>2.4</v>
      </c>
      <c r="BA37" s="4">
        <v>2.1</v>
      </c>
      <c r="BB37" s="4">
        <v>2.1</v>
      </c>
      <c r="BC37" s="4">
        <v>1.9</v>
      </c>
      <c r="BD37" s="4">
        <v>2.1</v>
      </c>
      <c r="BE37" s="4">
        <v>2.2999999999999998</v>
      </c>
      <c r="BF37" s="4">
        <v>1.8</v>
      </c>
      <c r="BG37" s="23">
        <v>1.7</v>
      </c>
      <c r="BH37" s="23">
        <v>1.7</v>
      </c>
      <c r="BI37" s="23">
        <v>1.6</v>
      </c>
      <c r="BJ37" s="23">
        <v>1.5</v>
      </c>
      <c r="BK37" s="4">
        <v>1</v>
      </c>
      <c r="BL37" s="23">
        <v>1.6</v>
      </c>
      <c r="BM37" s="4">
        <v>2</v>
      </c>
      <c r="BN37" s="4">
        <v>1.4</v>
      </c>
      <c r="BO37" s="4">
        <v>1.7</v>
      </c>
      <c r="BP37" s="55">
        <v>1.2</v>
      </c>
      <c r="BQ37" s="66">
        <v>1.3</v>
      </c>
    </row>
    <row r="38" spans="1:69" s="7" customFormat="1" x14ac:dyDescent="0.15">
      <c r="A38" s="16" t="s">
        <v>60</v>
      </c>
      <c r="B38" s="44">
        <v>64.3</v>
      </c>
      <c r="C38" s="44">
        <v>61.2</v>
      </c>
      <c r="D38" s="44">
        <v>59</v>
      </c>
      <c r="E38" s="44">
        <v>53.2</v>
      </c>
      <c r="F38" s="44">
        <v>44.9</v>
      </c>
      <c r="G38" s="44">
        <v>42.4</v>
      </c>
      <c r="H38" s="44">
        <v>35.700000000000003</v>
      </c>
      <c r="I38" s="44">
        <v>37.5</v>
      </c>
      <c r="J38" s="44">
        <v>33.6</v>
      </c>
      <c r="K38" s="44">
        <v>28.1</v>
      </c>
      <c r="L38" s="44">
        <v>31.1</v>
      </c>
      <c r="M38" s="44">
        <v>26.3</v>
      </c>
      <c r="N38" s="44">
        <v>21.4</v>
      </c>
      <c r="O38" s="44">
        <v>22.6</v>
      </c>
      <c r="P38" s="44">
        <v>21.8</v>
      </c>
      <c r="Q38" s="44">
        <v>19.8</v>
      </c>
      <c r="R38" s="44">
        <v>20.3</v>
      </c>
      <c r="S38" s="44">
        <v>15.9</v>
      </c>
      <c r="T38" s="44">
        <v>14.5</v>
      </c>
      <c r="U38" s="44">
        <v>14.9</v>
      </c>
      <c r="V38" s="44">
        <v>12.7</v>
      </c>
      <c r="W38" s="44">
        <v>11.5</v>
      </c>
      <c r="X38" s="44">
        <v>12</v>
      </c>
      <c r="Y38" s="44">
        <v>9.9</v>
      </c>
      <c r="Z38" s="44">
        <v>7.6</v>
      </c>
      <c r="AA38" s="44">
        <v>6.5</v>
      </c>
      <c r="AB38" s="44">
        <v>6</v>
      </c>
      <c r="AC38" s="44">
        <v>5.0999999999999996</v>
      </c>
      <c r="AD38" s="44">
        <v>6</v>
      </c>
      <c r="AE38" s="44">
        <v>4.9000000000000004</v>
      </c>
      <c r="AF38" s="44">
        <v>4.5999999999999996</v>
      </c>
      <c r="AG38" s="44">
        <v>4.9000000000000004</v>
      </c>
      <c r="AH38" s="44">
        <v>3</v>
      </c>
      <c r="AI38" s="44">
        <v>3.2</v>
      </c>
      <c r="AJ38" s="44">
        <v>3.4</v>
      </c>
      <c r="AK38" s="44">
        <v>4.2</v>
      </c>
      <c r="AL38" s="44">
        <v>4.5999999999999996</v>
      </c>
      <c r="AM38" s="44">
        <v>3.5</v>
      </c>
      <c r="AN38" s="44">
        <v>3.6</v>
      </c>
      <c r="AO38" s="23">
        <v>3.6</v>
      </c>
      <c r="AP38" s="23">
        <v>3.4</v>
      </c>
      <c r="AQ38" s="4">
        <v>2.4</v>
      </c>
      <c r="AR38" s="23">
        <v>2.9</v>
      </c>
      <c r="AS38" s="23">
        <v>3.1</v>
      </c>
      <c r="AT38" s="23">
        <v>1.8</v>
      </c>
      <c r="AU38" s="23">
        <v>1.8</v>
      </c>
      <c r="AV38" s="23">
        <v>1.9</v>
      </c>
      <c r="AW38" s="23">
        <v>2.6</v>
      </c>
      <c r="AX38" s="4">
        <v>1.9</v>
      </c>
      <c r="AY38" s="4">
        <v>3.1</v>
      </c>
      <c r="AZ38" s="4">
        <v>1.9</v>
      </c>
      <c r="BA38" s="4">
        <v>2</v>
      </c>
      <c r="BB38" s="4">
        <v>2.7</v>
      </c>
      <c r="BC38" s="4">
        <v>2</v>
      </c>
      <c r="BD38" s="4">
        <v>2.5</v>
      </c>
      <c r="BE38" s="4">
        <v>2.6</v>
      </c>
      <c r="BF38" s="4">
        <v>1.5</v>
      </c>
      <c r="BG38" s="23">
        <v>2.2999999999999998</v>
      </c>
      <c r="BH38" s="23">
        <v>2.2000000000000002</v>
      </c>
      <c r="BI38" s="23">
        <v>1.4</v>
      </c>
      <c r="BJ38" s="23">
        <v>1.5</v>
      </c>
      <c r="BK38" s="4">
        <v>2.2999999999999998</v>
      </c>
      <c r="BL38" s="23">
        <v>2.2999999999999998</v>
      </c>
      <c r="BM38" s="4">
        <v>2.5</v>
      </c>
      <c r="BN38" s="4">
        <v>2.4</v>
      </c>
      <c r="BO38" s="4">
        <v>1.8</v>
      </c>
      <c r="BP38" s="55">
        <v>1.7</v>
      </c>
      <c r="BQ38" s="66">
        <v>2.2000000000000002</v>
      </c>
    </row>
    <row r="39" spans="1:69" s="7" customFormat="1" x14ac:dyDescent="0.15">
      <c r="A39" s="16" t="s">
        <v>61</v>
      </c>
      <c r="B39" s="44">
        <v>63</v>
      </c>
      <c r="C39" s="44">
        <v>54.4</v>
      </c>
      <c r="D39" s="44">
        <v>56.2</v>
      </c>
      <c r="E39" s="44">
        <v>47.6</v>
      </c>
      <c r="F39" s="44">
        <v>40</v>
      </c>
      <c r="G39" s="44">
        <v>40.4</v>
      </c>
      <c r="H39" s="44">
        <v>31.9</v>
      </c>
      <c r="I39" s="37">
        <v>37.200000000000003</v>
      </c>
      <c r="J39" s="44">
        <v>30.8</v>
      </c>
      <c r="K39" s="44">
        <v>28.8</v>
      </c>
      <c r="L39" s="44">
        <v>32.9</v>
      </c>
      <c r="M39" s="44">
        <v>26.6</v>
      </c>
      <c r="N39" s="44">
        <v>26.2</v>
      </c>
      <c r="O39" s="44">
        <v>24.1</v>
      </c>
      <c r="P39" s="44">
        <v>21.7</v>
      </c>
      <c r="Q39" s="44">
        <v>21.3</v>
      </c>
      <c r="R39" s="44">
        <v>18.3</v>
      </c>
      <c r="S39" s="44">
        <v>17</v>
      </c>
      <c r="T39" s="44">
        <v>16.7</v>
      </c>
      <c r="U39" s="44">
        <v>15</v>
      </c>
      <c r="V39" s="44">
        <v>13.5</v>
      </c>
      <c r="W39" s="44">
        <v>18.8</v>
      </c>
      <c r="X39" s="44">
        <v>12.2</v>
      </c>
      <c r="Y39" s="44">
        <v>10.199999999999999</v>
      </c>
      <c r="Z39" s="44">
        <v>10.7</v>
      </c>
      <c r="AA39" s="44">
        <v>10</v>
      </c>
      <c r="AB39" s="44">
        <v>6.5</v>
      </c>
      <c r="AC39" s="44">
        <v>6.3</v>
      </c>
      <c r="AD39" s="44">
        <v>7.1</v>
      </c>
      <c r="AE39" s="44">
        <v>7.3</v>
      </c>
      <c r="AF39" s="44">
        <v>6.1</v>
      </c>
      <c r="AG39" s="44">
        <v>4.9000000000000004</v>
      </c>
      <c r="AH39" s="44">
        <v>6.1</v>
      </c>
      <c r="AI39" s="44">
        <v>5.7</v>
      </c>
      <c r="AJ39" s="44">
        <v>4.7</v>
      </c>
      <c r="AK39" s="44">
        <v>4.5999999999999996</v>
      </c>
      <c r="AL39" s="44">
        <v>2.9</v>
      </c>
      <c r="AM39" s="44">
        <v>4.0999999999999996</v>
      </c>
      <c r="AN39" s="44">
        <v>3.9</v>
      </c>
      <c r="AO39" s="23">
        <v>4.2</v>
      </c>
      <c r="AP39" s="23">
        <v>3.1</v>
      </c>
      <c r="AQ39" s="4">
        <v>2.5</v>
      </c>
      <c r="AR39" s="23">
        <v>3.6</v>
      </c>
      <c r="AS39" s="23">
        <v>2.7</v>
      </c>
      <c r="AT39" s="23">
        <v>2.5</v>
      </c>
      <c r="AU39" s="23">
        <v>3.4</v>
      </c>
      <c r="AV39" s="23">
        <v>2.4</v>
      </c>
      <c r="AW39" s="23">
        <v>2.8</v>
      </c>
      <c r="AX39" s="4">
        <v>2.1</v>
      </c>
      <c r="AY39" s="4">
        <v>3.6</v>
      </c>
      <c r="AZ39" s="4">
        <v>2.6</v>
      </c>
      <c r="BA39" s="4">
        <v>2.1</v>
      </c>
      <c r="BB39" s="4">
        <v>2</v>
      </c>
      <c r="BC39" s="4">
        <v>2.4</v>
      </c>
      <c r="BD39" s="4">
        <v>2.2000000000000002</v>
      </c>
      <c r="BE39" s="4">
        <v>1</v>
      </c>
      <c r="BF39" s="4">
        <v>3.1</v>
      </c>
      <c r="BG39" s="23">
        <v>1.7</v>
      </c>
      <c r="BH39" s="23">
        <v>1.7</v>
      </c>
      <c r="BI39" s="23">
        <v>2.1</v>
      </c>
      <c r="BJ39" s="23">
        <v>1.3</v>
      </c>
      <c r="BK39" s="4">
        <v>1.7</v>
      </c>
      <c r="BL39" s="23">
        <v>3.2</v>
      </c>
      <c r="BM39" s="4">
        <v>3.1</v>
      </c>
      <c r="BN39" s="4">
        <v>3.7</v>
      </c>
      <c r="BO39" s="4">
        <v>2.7</v>
      </c>
      <c r="BP39" s="55">
        <v>4.8</v>
      </c>
      <c r="BQ39" s="66">
        <v>2.1</v>
      </c>
    </row>
    <row r="40" spans="1:69" s="7" customFormat="1" x14ac:dyDescent="0.15">
      <c r="A40" s="16" t="s">
        <v>62</v>
      </c>
      <c r="B40" s="44">
        <v>49.5</v>
      </c>
      <c r="C40" s="44">
        <v>46</v>
      </c>
      <c r="D40" s="44">
        <v>48.6</v>
      </c>
      <c r="E40" s="44">
        <v>40.4</v>
      </c>
      <c r="F40" s="44">
        <v>39.6</v>
      </c>
      <c r="G40" s="44">
        <v>36.6</v>
      </c>
      <c r="H40" s="44">
        <v>28.5</v>
      </c>
      <c r="I40" s="44">
        <v>32.5</v>
      </c>
      <c r="J40" s="44">
        <v>27.6</v>
      </c>
      <c r="K40" s="44">
        <v>27.7</v>
      </c>
      <c r="L40" s="44">
        <v>23</v>
      </c>
      <c r="M40" s="44">
        <v>27.4</v>
      </c>
      <c r="N40" s="44">
        <v>19.5</v>
      </c>
      <c r="O40" s="44">
        <v>18.899999999999999</v>
      </c>
      <c r="P40" s="44">
        <v>21.7</v>
      </c>
      <c r="Q40" s="44">
        <v>21.6</v>
      </c>
      <c r="R40" s="44">
        <v>14.3</v>
      </c>
      <c r="S40" s="44">
        <v>13.5</v>
      </c>
      <c r="T40" s="44">
        <v>13.1</v>
      </c>
      <c r="U40" s="44">
        <v>14</v>
      </c>
      <c r="V40" s="44">
        <v>11.2</v>
      </c>
      <c r="W40" s="44">
        <v>12</v>
      </c>
      <c r="X40" s="44">
        <v>8.3000000000000007</v>
      </c>
      <c r="Y40" s="44">
        <v>9.4</v>
      </c>
      <c r="Z40" s="44">
        <v>6.3</v>
      </c>
      <c r="AA40" s="44">
        <v>6.6</v>
      </c>
      <c r="AB40" s="44">
        <v>6.8</v>
      </c>
      <c r="AC40" s="44">
        <v>4</v>
      </c>
      <c r="AD40" s="44">
        <v>4.7</v>
      </c>
      <c r="AE40" s="44">
        <v>5</v>
      </c>
      <c r="AF40" s="44">
        <v>3.1</v>
      </c>
      <c r="AG40" s="44">
        <v>3.2</v>
      </c>
      <c r="AH40" s="44">
        <v>3</v>
      </c>
      <c r="AI40" s="44">
        <v>4.7</v>
      </c>
      <c r="AJ40" s="44">
        <v>3.5</v>
      </c>
      <c r="AK40" s="44">
        <v>3.8</v>
      </c>
      <c r="AL40" s="44">
        <v>3.6</v>
      </c>
      <c r="AM40" s="44">
        <v>2.8</v>
      </c>
      <c r="AN40" s="44">
        <v>3.5</v>
      </c>
      <c r="AO40" s="23">
        <v>2.4</v>
      </c>
      <c r="AP40" s="23">
        <v>1.9</v>
      </c>
      <c r="AQ40" s="4">
        <v>2.8</v>
      </c>
      <c r="AR40" s="23">
        <v>2</v>
      </c>
      <c r="AS40" s="23">
        <v>1.7</v>
      </c>
      <c r="AT40" s="23">
        <v>2.1</v>
      </c>
      <c r="AU40" s="23">
        <v>2.5</v>
      </c>
      <c r="AV40" s="23">
        <v>1.2</v>
      </c>
      <c r="AW40" s="23">
        <v>1.1000000000000001</v>
      </c>
      <c r="AX40" s="4">
        <v>1.9</v>
      </c>
      <c r="AY40" s="4">
        <v>1.2</v>
      </c>
      <c r="AZ40" s="4">
        <v>1.9</v>
      </c>
      <c r="BA40" s="4">
        <v>1.6</v>
      </c>
      <c r="BB40" s="4">
        <v>0.6</v>
      </c>
      <c r="BC40" s="4">
        <v>1</v>
      </c>
      <c r="BD40" s="4">
        <v>1.2</v>
      </c>
      <c r="BE40" s="4">
        <v>1</v>
      </c>
      <c r="BF40" s="4">
        <v>1.4</v>
      </c>
      <c r="BG40" s="23">
        <v>1.5</v>
      </c>
      <c r="BH40" s="23">
        <v>1.3</v>
      </c>
      <c r="BI40" s="23">
        <v>1.7</v>
      </c>
      <c r="BJ40" s="23">
        <v>0.7</v>
      </c>
      <c r="BK40" s="4">
        <v>1.1000000000000001</v>
      </c>
      <c r="BL40" s="23">
        <v>1.8</v>
      </c>
      <c r="BM40" s="4">
        <v>2.2999999999999998</v>
      </c>
      <c r="BN40" s="4">
        <v>1.5</v>
      </c>
      <c r="BO40" s="4">
        <v>1.3</v>
      </c>
      <c r="BP40" s="55">
        <v>1.6</v>
      </c>
      <c r="BQ40" s="66">
        <v>2.2000000000000002</v>
      </c>
    </row>
    <row r="41" spans="1:69" s="7" customFormat="1" x14ac:dyDescent="0.15">
      <c r="A41" s="16" t="s">
        <v>63</v>
      </c>
      <c r="B41" s="44">
        <v>51.9</v>
      </c>
      <c r="C41" s="44">
        <v>45.6</v>
      </c>
      <c r="D41" s="44">
        <v>43.3</v>
      </c>
      <c r="E41" s="44">
        <v>37.299999999999997</v>
      </c>
      <c r="F41" s="44">
        <v>34.9</v>
      </c>
      <c r="G41" s="44">
        <v>34.9</v>
      </c>
      <c r="H41" s="44">
        <v>26.7</v>
      </c>
      <c r="I41" s="44">
        <v>28.4</v>
      </c>
      <c r="J41" s="44">
        <v>22.9</v>
      </c>
      <c r="K41" s="44">
        <v>21.2</v>
      </c>
      <c r="L41" s="44">
        <v>22.5</v>
      </c>
      <c r="M41" s="44">
        <v>17.899999999999999</v>
      </c>
      <c r="N41" s="44">
        <v>17</v>
      </c>
      <c r="O41" s="44">
        <v>14</v>
      </c>
      <c r="P41" s="44">
        <v>14.7</v>
      </c>
      <c r="Q41" s="44">
        <v>15.3</v>
      </c>
      <c r="R41" s="44">
        <v>13.3</v>
      </c>
      <c r="S41" s="44">
        <v>11.2</v>
      </c>
      <c r="T41" s="44">
        <v>10.9</v>
      </c>
      <c r="U41" s="44">
        <v>9.6999999999999993</v>
      </c>
      <c r="V41" s="44">
        <v>10.6</v>
      </c>
      <c r="W41" s="44">
        <v>9.1999999999999993</v>
      </c>
      <c r="X41" s="44">
        <v>8.3000000000000007</v>
      </c>
      <c r="Y41" s="44">
        <v>6.8</v>
      </c>
      <c r="Z41" s="44">
        <v>5.7</v>
      </c>
      <c r="AA41" s="44">
        <v>7</v>
      </c>
      <c r="AB41" s="44">
        <v>4.5999999999999996</v>
      </c>
      <c r="AC41" s="44">
        <v>5.7</v>
      </c>
      <c r="AD41" s="44">
        <v>4.9000000000000004</v>
      </c>
      <c r="AE41" s="44">
        <v>4.0999999999999996</v>
      </c>
      <c r="AF41" s="44">
        <v>4.8</v>
      </c>
      <c r="AG41" s="44">
        <v>4.5</v>
      </c>
      <c r="AH41" s="44">
        <v>4.0999999999999996</v>
      </c>
      <c r="AI41" s="44">
        <v>3.5</v>
      </c>
      <c r="AJ41" s="44">
        <v>3.5</v>
      </c>
      <c r="AK41" s="44">
        <v>2.8</v>
      </c>
      <c r="AL41" s="44">
        <v>3.1</v>
      </c>
      <c r="AM41" s="44">
        <v>2.2999999999999998</v>
      </c>
      <c r="AN41" s="44">
        <v>3.1</v>
      </c>
      <c r="AO41" s="23">
        <v>2.1</v>
      </c>
      <c r="AP41" s="23">
        <v>3.3</v>
      </c>
      <c r="AQ41" s="4">
        <v>2.7</v>
      </c>
      <c r="AR41" s="23">
        <v>1.7</v>
      </c>
      <c r="AS41" s="23">
        <v>1.7</v>
      </c>
      <c r="AT41" s="23">
        <v>1.9</v>
      </c>
      <c r="AU41" s="23">
        <v>1.4</v>
      </c>
      <c r="AV41" s="23">
        <v>1.8</v>
      </c>
      <c r="AW41" s="23">
        <v>1.8</v>
      </c>
      <c r="AX41" s="4">
        <v>0.9</v>
      </c>
      <c r="AY41" s="4">
        <v>1.6</v>
      </c>
      <c r="AZ41" s="4">
        <v>1.8</v>
      </c>
      <c r="BA41" s="4">
        <v>1.5</v>
      </c>
      <c r="BB41" s="4">
        <v>1.5</v>
      </c>
      <c r="BC41" s="4">
        <v>0.8</v>
      </c>
      <c r="BD41" s="4">
        <v>1.1000000000000001</v>
      </c>
      <c r="BE41" s="4">
        <v>1.5</v>
      </c>
      <c r="BF41" s="4">
        <v>1.1000000000000001</v>
      </c>
      <c r="BG41" s="23">
        <v>1.3</v>
      </c>
      <c r="BH41" s="23">
        <v>1.1000000000000001</v>
      </c>
      <c r="BI41" s="23">
        <v>1.7</v>
      </c>
      <c r="BJ41" s="23">
        <v>1.5</v>
      </c>
      <c r="BK41" s="4">
        <v>1.5</v>
      </c>
      <c r="BL41" s="23">
        <v>1.3</v>
      </c>
      <c r="BM41" s="4">
        <v>1.5</v>
      </c>
      <c r="BN41" s="4">
        <v>1.6</v>
      </c>
      <c r="BO41" s="4">
        <v>1.4</v>
      </c>
      <c r="BP41" s="55">
        <v>1.4</v>
      </c>
      <c r="BQ41" s="66">
        <v>1.2</v>
      </c>
    </row>
    <row r="42" spans="1:69" s="7" customFormat="1" x14ac:dyDescent="0.15">
      <c r="A42" s="16" t="s">
        <v>64</v>
      </c>
      <c r="B42" s="44">
        <v>50.5</v>
      </c>
      <c r="C42" s="44">
        <v>50.2</v>
      </c>
      <c r="D42" s="44">
        <v>51.4</v>
      </c>
      <c r="E42" s="44">
        <v>41.6</v>
      </c>
      <c r="F42" s="44">
        <v>39.200000000000003</v>
      </c>
      <c r="G42" s="44">
        <v>38.799999999999997</v>
      </c>
      <c r="H42" s="44">
        <v>33</v>
      </c>
      <c r="I42" s="44">
        <v>32.700000000000003</v>
      </c>
      <c r="J42" s="44">
        <v>29.4</v>
      </c>
      <c r="K42" s="38">
        <v>27.5</v>
      </c>
      <c r="L42" s="44">
        <v>30</v>
      </c>
      <c r="M42" s="44">
        <v>26.1</v>
      </c>
      <c r="N42" s="44">
        <v>24.2</v>
      </c>
      <c r="O42" s="44">
        <v>19.8</v>
      </c>
      <c r="P42" s="44">
        <v>24.4</v>
      </c>
      <c r="Q42" s="44">
        <v>23.1</v>
      </c>
      <c r="R42" s="44">
        <v>17.3</v>
      </c>
      <c r="S42" s="44">
        <v>15.6</v>
      </c>
      <c r="T42" s="44">
        <v>13.4</v>
      </c>
      <c r="U42" s="44">
        <v>12.4</v>
      </c>
      <c r="V42" s="44">
        <v>13.1</v>
      </c>
      <c r="W42" s="44">
        <v>11.9</v>
      </c>
      <c r="X42" s="44">
        <v>10.8</v>
      </c>
      <c r="Y42" s="44">
        <v>8</v>
      </c>
      <c r="Z42" s="44">
        <v>7.6</v>
      </c>
      <c r="AA42" s="44">
        <v>6.5</v>
      </c>
      <c r="AB42" s="44">
        <v>8.4</v>
      </c>
      <c r="AC42" s="44">
        <v>5.2</v>
      </c>
      <c r="AD42" s="44">
        <v>6.7</v>
      </c>
      <c r="AE42" s="44">
        <v>5.3</v>
      </c>
      <c r="AF42" s="44">
        <v>3.9</v>
      </c>
      <c r="AG42" s="44">
        <v>3.9</v>
      </c>
      <c r="AH42" s="44">
        <v>4.4000000000000004</v>
      </c>
      <c r="AI42" s="44">
        <v>5.8</v>
      </c>
      <c r="AJ42" s="44">
        <v>3.1</v>
      </c>
      <c r="AK42" s="44">
        <v>3.4</v>
      </c>
      <c r="AL42" s="44">
        <v>4.0999999999999996</v>
      </c>
      <c r="AM42" s="44">
        <v>3.7</v>
      </c>
      <c r="AN42" s="44">
        <v>3.6</v>
      </c>
      <c r="AO42" s="23">
        <v>2.5</v>
      </c>
      <c r="AP42" s="23">
        <v>2.9</v>
      </c>
      <c r="AQ42" s="4">
        <v>3.1</v>
      </c>
      <c r="AR42" s="23">
        <v>1.7</v>
      </c>
      <c r="AS42" s="23">
        <v>1.7</v>
      </c>
      <c r="AT42" s="23">
        <v>2.7</v>
      </c>
      <c r="AU42" s="23">
        <v>2.6</v>
      </c>
      <c r="AV42" s="23">
        <v>2</v>
      </c>
      <c r="AW42" s="23">
        <v>1.2</v>
      </c>
      <c r="AX42" s="4">
        <v>1</v>
      </c>
      <c r="AY42" s="4">
        <v>1.6</v>
      </c>
      <c r="AZ42" s="4">
        <v>2.5</v>
      </c>
      <c r="BA42" s="4">
        <v>1.5</v>
      </c>
      <c r="BB42" s="4">
        <v>1.8</v>
      </c>
      <c r="BC42" s="4">
        <v>1.8</v>
      </c>
      <c r="BD42" s="4">
        <v>2.4</v>
      </c>
      <c r="BE42" s="4">
        <v>1.8</v>
      </c>
      <c r="BF42" s="4">
        <v>2.2999999999999998</v>
      </c>
      <c r="BG42" s="23">
        <v>1.6</v>
      </c>
      <c r="BH42" s="23">
        <v>2.2999999999999998</v>
      </c>
      <c r="BI42" s="23">
        <v>1.5</v>
      </c>
      <c r="BJ42" s="23">
        <v>1.7</v>
      </c>
      <c r="BK42" s="4">
        <v>2.8</v>
      </c>
      <c r="BL42" s="23">
        <v>1.1000000000000001</v>
      </c>
      <c r="BM42" s="4">
        <v>1.6</v>
      </c>
      <c r="BN42" s="4">
        <v>0.9</v>
      </c>
      <c r="BO42" s="4">
        <v>1.5</v>
      </c>
      <c r="BP42" s="55">
        <v>0.9</v>
      </c>
      <c r="BQ42" s="66">
        <v>1.5</v>
      </c>
    </row>
    <row r="43" spans="1:69" s="7" customFormat="1" x14ac:dyDescent="0.15">
      <c r="A43" s="16" t="s">
        <v>65</v>
      </c>
      <c r="B43" s="44">
        <v>63.6</v>
      </c>
      <c r="C43" s="44">
        <v>59.9</v>
      </c>
      <c r="D43" s="44">
        <v>57.6</v>
      </c>
      <c r="E43" s="44">
        <v>44.8</v>
      </c>
      <c r="F43" s="44">
        <v>41.2</v>
      </c>
      <c r="G43" s="44">
        <v>41.6</v>
      </c>
      <c r="H43" s="44">
        <v>37</v>
      </c>
      <c r="I43" s="53">
        <v>36.1</v>
      </c>
      <c r="J43" s="44">
        <v>28.3</v>
      </c>
      <c r="K43" s="44">
        <v>28.8</v>
      </c>
      <c r="L43" s="44">
        <v>29</v>
      </c>
      <c r="M43" s="44">
        <v>25.3</v>
      </c>
      <c r="N43" s="44">
        <v>21.8</v>
      </c>
      <c r="O43" s="44">
        <v>23.2</v>
      </c>
      <c r="P43" s="44">
        <v>20.9</v>
      </c>
      <c r="Q43" s="44">
        <v>19.7</v>
      </c>
      <c r="R43" s="44">
        <v>15.9</v>
      </c>
      <c r="S43" s="44">
        <v>16.2</v>
      </c>
      <c r="T43" s="44">
        <v>14</v>
      </c>
      <c r="U43" s="44">
        <v>13.7</v>
      </c>
      <c r="V43" s="44">
        <v>12.4</v>
      </c>
      <c r="W43" s="44">
        <v>11.5</v>
      </c>
      <c r="X43" s="44">
        <v>10.1</v>
      </c>
      <c r="Y43" s="44">
        <v>8.8000000000000007</v>
      </c>
      <c r="Z43" s="44">
        <v>7.3</v>
      </c>
      <c r="AA43" s="44">
        <v>7.6</v>
      </c>
      <c r="AB43" s="44">
        <v>5.7</v>
      </c>
      <c r="AC43" s="44">
        <v>5.9</v>
      </c>
      <c r="AD43" s="44">
        <v>4.9000000000000004</v>
      </c>
      <c r="AE43" s="44">
        <v>5.2</v>
      </c>
      <c r="AF43" s="44">
        <v>4.4000000000000004</v>
      </c>
      <c r="AG43" s="44">
        <v>3.6</v>
      </c>
      <c r="AH43" s="44">
        <v>3.7</v>
      </c>
      <c r="AI43" s="44">
        <v>3.8</v>
      </c>
      <c r="AJ43" s="44">
        <v>3.2</v>
      </c>
      <c r="AK43" s="44">
        <v>3.4</v>
      </c>
      <c r="AL43" s="44">
        <v>2.9</v>
      </c>
      <c r="AM43" s="44">
        <v>2.6</v>
      </c>
      <c r="AN43" s="44">
        <v>3</v>
      </c>
      <c r="AO43" s="23">
        <v>2.6</v>
      </c>
      <c r="AP43" s="23">
        <v>2.2999999999999998</v>
      </c>
      <c r="AQ43" s="4">
        <v>2.2000000000000002</v>
      </c>
      <c r="AR43" s="23">
        <v>2.1</v>
      </c>
      <c r="AS43" s="23">
        <v>1.6</v>
      </c>
      <c r="AT43" s="23">
        <v>2.4</v>
      </c>
      <c r="AU43" s="23">
        <v>2.2999999999999998</v>
      </c>
      <c r="AV43" s="23">
        <v>1.9</v>
      </c>
      <c r="AW43" s="23">
        <v>1.8</v>
      </c>
      <c r="AX43" s="4">
        <v>2</v>
      </c>
      <c r="AY43" s="4">
        <v>1.8</v>
      </c>
      <c r="AZ43" s="4">
        <v>1.7</v>
      </c>
      <c r="BA43" s="4">
        <v>1.6</v>
      </c>
      <c r="BB43" s="4">
        <v>1.5</v>
      </c>
      <c r="BC43" s="4">
        <v>2</v>
      </c>
      <c r="BD43" s="4">
        <v>1.8</v>
      </c>
      <c r="BE43" s="4">
        <v>1.7</v>
      </c>
      <c r="BF43" s="4">
        <v>1.5</v>
      </c>
      <c r="BG43" s="23">
        <v>1.5</v>
      </c>
      <c r="BH43" s="23">
        <v>1.3</v>
      </c>
      <c r="BI43" s="23">
        <v>1.6</v>
      </c>
      <c r="BJ43" s="23">
        <v>1.6</v>
      </c>
      <c r="BK43" s="4">
        <v>1.3</v>
      </c>
      <c r="BL43" s="23">
        <v>1.6</v>
      </c>
      <c r="BM43" s="4">
        <v>1.7</v>
      </c>
      <c r="BN43" s="4">
        <v>1.6</v>
      </c>
      <c r="BO43" s="4">
        <v>1.5</v>
      </c>
      <c r="BP43" s="55">
        <v>1.8</v>
      </c>
      <c r="BQ43" s="66">
        <v>1.2</v>
      </c>
    </row>
    <row r="44" spans="1:69" s="7" customFormat="1" x14ac:dyDescent="0.15">
      <c r="A44" s="16" t="s">
        <v>66</v>
      </c>
      <c r="B44" s="44">
        <v>61</v>
      </c>
      <c r="C44" s="44">
        <v>58</v>
      </c>
      <c r="D44" s="44">
        <v>57.3</v>
      </c>
      <c r="E44" s="44">
        <v>47.5</v>
      </c>
      <c r="F44" s="44">
        <v>44.7</v>
      </c>
      <c r="G44" s="44">
        <v>43.2</v>
      </c>
      <c r="H44" s="44">
        <v>36.5</v>
      </c>
      <c r="I44" s="44">
        <v>39.299999999999997</v>
      </c>
      <c r="J44" s="44">
        <v>35</v>
      </c>
      <c r="K44" s="44">
        <v>33.1</v>
      </c>
      <c r="L44" s="44">
        <v>30.3</v>
      </c>
      <c r="M44" s="44">
        <v>27.4</v>
      </c>
      <c r="N44" s="44">
        <v>26.7</v>
      </c>
      <c r="O44" s="44">
        <v>26</v>
      </c>
      <c r="P44" s="44">
        <v>20</v>
      </c>
      <c r="Q44" s="44">
        <v>23.3</v>
      </c>
      <c r="R44" s="44">
        <v>22.5</v>
      </c>
      <c r="S44" s="44">
        <v>15.4</v>
      </c>
      <c r="T44" s="44">
        <v>16.7</v>
      </c>
      <c r="U44" s="44">
        <v>14.7</v>
      </c>
      <c r="V44" s="44">
        <v>12.4</v>
      </c>
      <c r="W44" s="44">
        <v>12.5</v>
      </c>
      <c r="X44" s="44">
        <v>10.6</v>
      </c>
      <c r="Y44" s="44">
        <v>10</v>
      </c>
      <c r="Z44" s="44">
        <v>7.4</v>
      </c>
      <c r="AA44" s="44">
        <v>8</v>
      </c>
      <c r="AB44" s="44">
        <v>7.2</v>
      </c>
      <c r="AC44" s="44">
        <v>6.4</v>
      </c>
      <c r="AD44" s="44">
        <v>6.2</v>
      </c>
      <c r="AE44" s="44">
        <v>7.3</v>
      </c>
      <c r="AF44" s="44">
        <v>5.4</v>
      </c>
      <c r="AG44" s="44">
        <v>3.9</v>
      </c>
      <c r="AH44" s="44">
        <v>4.7</v>
      </c>
      <c r="AI44" s="44">
        <v>2.2000000000000002</v>
      </c>
      <c r="AJ44" s="44">
        <v>3.5</v>
      </c>
      <c r="AK44" s="44">
        <v>4.7</v>
      </c>
      <c r="AL44" s="44">
        <v>4.0999999999999996</v>
      </c>
      <c r="AM44" s="44">
        <v>2.7</v>
      </c>
      <c r="AN44" s="44">
        <v>1.8</v>
      </c>
      <c r="AO44" s="23">
        <v>2.4</v>
      </c>
      <c r="AP44" s="23">
        <v>2.9</v>
      </c>
      <c r="AQ44" s="4">
        <v>2.8</v>
      </c>
      <c r="AR44" s="23">
        <v>1.5</v>
      </c>
      <c r="AS44" s="23">
        <v>2.7</v>
      </c>
      <c r="AT44" s="23">
        <v>2</v>
      </c>
      <c r="AU44" s="23">
        <v>1.7</v>
      </c>
      <c r="AV44" s="23">
        <v>2.5</v>
      </c>
      <c r="AW44" s="23">
        <v>1.3</v>
      </c>
      <c r="AX44" s="4">
        <v>2.2999999999999998</v>
      </c>
      <c r="AY44" s="4">
        <v>2.4</v>
      </c>
      <c r="AZ44" s="4">
        <v>2.1</v>
      </c>
      <c r="BA44" s="4">
        <v>1</v>
      </c>
      <c r="BB44" s="4">
        <v>3</v>
      </c>
      <c r="BC44" s="4">
        <v>2.1</v>
      </c>
      <c r="BD44" s="4">
        <v>1.9</v>
      </c>
      <c r="BE44" s="4">
        <v>3</v>
      </c>
      <c r="BF44" s="4">
        <v>2.7</v>
      </c>
      <c r="BG44" s="23">
        <v>2</v>
      </c>
      <c r="BH44" s="23">
        <v>2.8</v>
      </c>
      <c r="BI44" s="23">
        <v>1.2</v>
      </c>
      <c r="BJ44" s="23">
        <v>2.8</v>
      </c>
      <c r="BK44" s="4">
        <v>2.7</v>
      </c>
      <c r="BL44" s="23">
        <v>2.8</v>
      </c>
      <c r="BM44" s="4">
        <v>1.5</v>
      </c>
      <c r="BN44" s="4">
        <v>2.6</v>
      </c>
      <c r="BO44" s="4">
        <v>1.7</v>
      </c>
      <c r="BP44" s="55">
        <v>1.6</v>
      </c>
      <c r="BQ44" s="66">
        <v>1.1000000000000001</v>
      </c>
    </row>
    <row r="45" spans="1:69" s="7" customFormat="1" x14ac:dyDescent="0.15">
      <c r="A45" s="16" t="s">
        <v>67</v>
      </c>
      <c r="B45" s="44">
        <v>71.900000000000006</v>
      </c>
      <c r="C45" s="44">
        <v>70.5</v>
      </c>
      <c r="D45" s="44">
        <v>67.400000000000006</v>
      </c>
      <c r="E45" s="44">
        <v>59.5</v>
      </c>
      <c r="F45" s="44">
        <v>49.2</v>
      </c>
      <c r="G45" s="44">
        <v>49.4</v>
      </c>
      <c r="H45" s="44">
        <v>42</v>
      </c>
      <c r="I45" s="44">
        <v>43.2</v>
      </c>
      <c r="J45" s="44">
        <v>36.5</v>
      </c>
      <c r="K45" s="44">
        <v>33.200000000000003</v>
      </c>
      <c r="L45" s="44">
        <v>35.700000000000003</v>
      </c>
      <c r="M45" s="44">
        <v>29.5</v>
      </c>
      <c r="N45" s="44">
        <v>24.9</v>
      </c>
      <c r="O45" s="44">
        <v>27.8</v>
      </c>
      <c r="P45" s="44">
        <v>21.7</v>
      </c>
      <c r="Q45" s="44">
        <v>22.9</v>
      </c>
      <c r="R45" s="44">
        <v>19.3</v>
      </c>
      <c r="S45" s="44">
        <v>18.399999999999999</v>
      </c>
      <c r="T45" s="44">
        <v>17.399999999999999</v>
      </c>
      <c r="U45" s="44">
        <v>16.7</v>
      </c>
      <c r="V45" s="44">
        <v>14.8</v>
      </c>
      <c r="W45" s="44">
        <v>11.8</v>
      </c>
      <c r="X45" s="44">
        <v>11.2</v>
      </c>
      <c r="Y45" s="44">
        <v>10.199999999999999</v>
      </c>
      <c r="Z45" s="44">
        <v>8</v>
      </c>
      <c r="AA45" s="44">
        <v>7</v>
      </c>
      <c r="AB45" s="44">
        <v>7.6</v>
      </c>
      <c r="AC45" s="44">
        <v>5</v>
      </c>
      <c r="AD45" s="44">
        <v>6.3</v>
      </c>
      <c r="AE45" s="44">
        <v>6.1</v>
      </c>
      <c r="AF45" s="44">
        <v>4.5999999999999996</v>
      </c>
      <c r="AG45" s="44">
        <v>4.9000000000000004</v>
      </c>
      <c r="AH45" s="44">
        <v>4.5</v>
      </c>
      <c r="AI45" s="44">
        <v>3.8</v>
      </c>
      <c r="AJ45" s="44">
        <v>3.1</v>
      </c>
      <c r="AK45" s="44">
        <v>4.2</v>
      </c>
      <c r="AL45" s="44">
        <v>3</v>
      </c>
      <c r="AM45" s="44">
        <v>3.1</v>
      </c>
      <c r="AN45" s="44">
        <v>4.2</v>
      </c>
      <c r="AO45" s="23">
        <v>3</v>
      </c>
      <c r="AP45" s="23">
        <v>2.5</v>
      </c>
      <c r="AQ45" s="4">
        <v>2.5</v>
      </c>
      <c r="AR45" s="23">
        <v>2.4</v>
      </c>
      <c r="AS45" s="23">
        <v>2.9</v>
      </c>
      <c r="AT45" s="23">
        <v>2.6</v>
      </c>
      <c r="AU45" s="23">
        <v>2.1</v>
      </c>
      <c r="AV45" s="23">
        <v>2.5</v>
      </c>
      <c r="AW45" s="23">
        <v>2.2999999999999998</v>
      </c>
      <c r="AX45" s="4">
        <v>1.6</v>
      </c>
      <c r="AY45" s="4">
        <v>1.7</v>
      </c>
      <c r="AZ45" s="4">
        <v>1.7</v>
      </c>
      <c r="BA45" s="4">
        <v>1.7</v>
      </c>
      <c r="BB45" s="4">
        <v>2</v>
      </c>
      <c r="BC45" s="4">
        <v>2.4</v>
      </c>
      <c r="BD45" s="4">
        <v>1.8</v>
      </c>
      <c r="BE45" s="4">
        <v>2.8</v>
      </c>
      <c r="BF45" s="4">
        <v>1.9</v>
      </c>
      <c r="BG45" s="23">
        <v>2.1</v>
      </c>
      <c r="BH45" s="23">
        <v>2.2999999999999998</v>
      </c>
      <c r="BI45" s="23">
        <v>1.7</v>
      </c>
      <c r="BJ45" s="23">
        <v>1.2</v>
      </c>
      <c r="BK45" s="4">
        <v>1.1000000000000001</v>
      </c>
      <c r="BL45" s="23">
        <v>2.2000000000000002</v>
      </c>
      <c r="BM45" s="4">
        <v>1.7</v>
      </c>
      <c r="BN45" s="4">
        <v>2</v>
      </c>
      <c r="BO45" s="4">
        <v>2.4</v>
      </c>
      <c r="BP45" s="55">
        <v>2.2999999999999998</v>
      </c>
      <c r="BQ45" s="66">
        <v>1.7</v>
      </c>
    </row>
    <row r="46" spans="1:69" s="7" customFormat="1" x14ac:dyDescent="0.15">
      <c r="A46" s="16" t="s">
        <v>68</v>
      </c>
      <c r="B46" s="44">
        <v>53.9</v>
      </c>
      <c r="C46" s="44">
        <v>55</v>
      </c>
      <c r="D46" s="44">
        <v>55.1</v>
      </c>
      <c r="E46" s="44">
        <v>48.3</v>
      </c>
      <c r="F46" s="44">
        <v>42.6</v>
      </c>
      <c r="G46" s="44">
        <v>43.4</v>
      </c>
      <c r="H46" s="44">
        <v>38</v>
      </c>
      <c r="I46" s="44">
        <v>39.299999999999997</v>
      </c>
      <c r="J46" s="44">
        <v>34.299999999999997</v>
      </c>
      <c r="K46" s="44">
        <v>35.1</v>
      </c>
      <c r="L46" s="44">
        <v>32.299999999999997</v>
      </c>
      <c r="M46" s="44">
        <v>30</v>
      </c>
      <c r="N46" s="44">
        <v>24.5</v>
      </c>
      <c r="O46" s="44">
        <v>26.6</v>
      </c>
      <c r="P46" s="44">
        <v>24.9</v>
      </c>
      <c r="Q46" s="44">
        <v>25.2</v>
      </c>
      <c r="R46" s="44">
        <v>21.8</v>
      </c>
      <c r="S46" s="44">
        <v>19.2</v>
      </c>
      <c r="T46" s="44">
        <v>19.399999999999999</v>
      </c>
      <c r="U46" s="44">
        <v>18.7</v>
      </c>
      <c r="V46" s="44">
        <v>17.600000000000001</v>
      </c>
      <c r="W46" s="44">
        <v>15.5</v>
      </c>
      <c r="X46" s="53">
        <v>12.3</v>
      </c>
      <c r="Y46" s="44">
        <v>10.8</v>
      </c>
      <c r="Z46" s="44">
        <v>10.4</v>
      </c>
      <c r="AA46" s="44">
        <v>7.9</v>
      </c>
      <c r="AB46" s="44">
        <v>6.6</v>
      </c>
      <c r="AC46" s="44">
        <v>7.6</v>
      </c>
      <c r="AD46" s="44">
        <v>6.5</v>
      </c>
      <c r="AE46" s="44">
        <v>6.8</v>
      </c>
      <c r="AF46" s="44">
        <v>5.7</v>
      </c>
      <c r="AG46" s="44">
        <v>5.4</v>
      </c>
      <c r="AH46" s="44">
        <v>3.8</v>
      </c>
      <c r="AI46" s="44">
        <v>4.5999999999999996</v>
      </c>
      <c r="AJ46" s="44">
        <v>4.4000000000000004</v>
      </c>
      <c r="AK46" s="44">
        <v>4.5999999999999996</v>
      </c>
      <c r="AL46" s="44">
        <v>4.2</v>
      </c>
      <c r="AM46" s="44">
        <v>3.9</v>
      </c>
      <c r="AN46" s="44">
        <v>2.7</v>
      </c>
      <c r="AO46" s="23">
        <v>3.3</v>
      </c>
      <c r="AP46" s="23">
        <v>1.9</v>
      </c>
      <c r="AQ46" s="4">
        <v>1.6</v>
      </c>
      <c r="AR46" s="23">
        <v>2</v>
      </c>
      <c r="AS46" s="23">
        <v>2</v>
      </c>
      <c r="AT46" s="23">
        <v>1.8</v>
      </c>
      <c r="AU46" s="23">
        <v>1.9</v>
      </c>
      <c r="AV46" s="23">
        <v>1.9</v>
      </c>
      <c r="AW46" s="23">
        <v>2.1</v>
      </c>
      <c r="AX46" s="4">
        <v>1.9</v>
      </c>
      <c r="AY46" s="4">
        <v>2.2999999999999998</v>
      </c>
      <c r="AZ46" s="4">
        <v>1.4</v>
      </c>
      <c r="BA46" s="4">
        <v>1.9</v>
      </c>
      <c r="BB46" s="4">
        <v>1.3</v>
      </c>
      <c r="BC46" s="4">
        <v>2</v>
      </c>
      <c r="BD46" s="4">
        <v>1.3</v>
      </c>
      <c r="BE46" s="4">
        <v>1.8</v>
      </c>
      <c r="BF46" s="4">
        <v>2.1</v>
      </c>
      <c r="BG46" s="23">
        <v>2.2000000000000002</v>
      </c>
      <c r="BH46" s="23">
        <v>2</v>
      </c>
      <c r="BI46" s="23">
        <v>1.8</v>
      </c>
      <c r="BJ46" s="23">
        <v>2.7</v>
      </c>
      <c r="BK46" s="4">
        <v>2</v>
      </c>
      <c r="BL46" s="23">
        <v>2.6</v>
      </c>
      <c r="BM46" s="4">
        <v>2.1</v>
      </c>
      <c r="BN46" s="4">
        <v>1.7</v>
      </c>
      <c r="BO46" s="4">
        <v>2</v>
      </c>
      <c r="BP46" s="55">
        <v>1.4</v>
      </c>
      <c r="BQ46" s="66">
        <v>2.2000000000000002</v>
      </c>
    </row>
    <row r="47" spans="1:69" s="7" customFormat="1" x14ac:dyDescent="0.15">
      <c r="A47" s="16" t="s">
        <v>69</v>
      </c>
      <c r="B47" s="44">
        <v>65.2</v>
      </c>
      <c r="C47" s="44">
        <v>65</v>
      </c>
      <c r="D47" s="44">
        <v>59.7</v>
      </c>
      <c r="E47" s="44">
        <v>51.7</v>
      </c>
      <c r="F47" s="44">
        <v>48.1</v>
      </c>
      <c r="G47" s="44">
        <v>48.6</v>
      </c>
      <c r="H47" s="44">
        <v>40.5</v>
      </c>
      <c r="I47" s="53">
        <v>41.1</v>
      </c>
      <c r="J47" s="38">
        <v>37.299999999999997</v>
      </c>
      <c r="K47" s="44">
        <v>36</v>
      </c>
      <c r="L47" s="44">
        <v>38.1</v>
      </c>
      <c r="M47" s="44">
        <v>31.9</v>
      </c>
      <c r="N47" s="44">
        <v>28.6</v>
      </c>
      <c r="O47" s="44">
        <v>28.5</v>
      </c>
      <c r="P47" s="44">
        <v>25.7</v>
      </c>
      <c r="Q47" s="44">
        <v>26</v>
      </c>
      <c r="R47" s="44">
        <v>21.3</v>
      </c>
      <c r="S47" s="44">
        <v>19.600000000000001</v>
      </c>
      <c r="T47" s="44">
        <v>19.7</v>
      </c>
      <c r="U47" s="44">
        <v>16.600000000000001</v>
      </c>
      <c r="V47" s="44">
        <v>18.399999999999999</v>
      </c>
      <c r="W47" s="44">
        <v>15.2</v>
      </c>
      <c r="X47" s="44">
        <v>14.9</v>
      </c>
      <c r="Y47" s="44">
        <v>12.6</v>
      </c>
      <c r="Z47" s="44">
        <v>12</v>
      </c>
      <c r="AA47" s="44">
        <v>11.6</v>
      </c>
      <c r="AB47" s="44">
        <v>8.3000000000000007</v>
      </c>
      <c r="AC47" s="44">
        <v>7.4</v>
      </c>
      <c r="AD47" s="44">
        <v>7.9</v>
      </c>
      <c r="AE47" s="44">
        <v>8.1999999999999993</v>
      </c>
      <c r="AF47" s="44">
        <v>5.4</v>
      </c>
      <c r="AG47" s="44">
        <v>4.7</v>
      </c>
      <c r="AH47" s="44">
        <v>4.5999999999999996</v>
      </c>
      <c r="AI47" s="44">
        <v>3.9</v>
      </c>
      <c r="AJ47" s="44">
        <v>3.5</v>
      </c>
      <c r="AK47" s="44">
        <v>2.9</v>
      </c>
      <c r="AL47" s="44">
        <v>3.7</v>
      </c>
      <c r="AM47" s="44">
        <v>4.4000000000000004</v>
      </c>
      <c r="AN47" s="44">
        <v>4.2</v>
      </c>
      <c r="AO47" s="23">
        <v>3.9</v>
      </c>
      <c r="AP47" s="23">
        <v>2.9</v>
      </c>
      <c r="AQ47" s="4">
        <v>2.8</v>
      </c>
      <c r="AR47" s="23">
        <v>3.1</v>
      </c>
      <c r="AS47" s="23">
        <v>1.6</v>
      </c>
      <c r="AT47" s="23">
        <v>2.8</v>
      </c>
      <c r="AU47" s="23">
        <v>3.5</v>
      </c>
      <c r="AV47" s="23">
        <v>1.8</v>
      </c>
      <c r="AW47" s="23">
        <v>2.1</v>
      </c>
      <c r="AX47" s="4">
        <v>1.7</v>
      </c>
      <c r="AY47" s="4">
        <v>2.2000000000000002</v>
      </c>
      <c r="AZ47" s="4">
        <v>2.2000000000000002</v>
      </c>
      <c r="BA47" s="4">
        <v>1.8</v>
      </c>
      <c r="BB47" s="4">
        <v>2</v>
      </c>
      <c r="BC47" s="4">
        <v>2.5</v>
      </c>
      <c r="BD47" s="4">
        <v>2.2000000000000002</v>
      </c>
      <c r="BE47" s="4">
        <v>1.6</v>
      </c>
      <c r="BF47" s="4">
        <v>1.8</v>
      </c>
      <c r="BG47" s="23">
        <v>1.4</v>
      </c>
      <c r="BH47" s="23">
        <v>2.2000000000000002</v>
      </c>
      <c r="BI47" s="23">
        <v>1.5</v>
      </c>
      <c r="BJ47" s="23">
        <v>1.8</v>
      </c>
      <c r="BK47" s="4">
        <v>1.4</v>
      </c>
      <c r="BL47" s="23">
        <v>1.9</v>
      </c>
      <c r="BM47" s="4">
        <v>2.4</v>
      </c>
      <c r="BN47" s="4">
        <v>1.8</v>
      </c>
      <c r="BO47" s="4">
        <v>1.6</v>
      </c>
      <c r="BP47" s="55">
        <v>1.2</v>
      </c>
      <c r="BQ47" s="66">
        <v>2.2999999999999998</v>
      </c>
    </row>
    <row r="48" spans="1:69" s="7" customFormat="1" x14ac:dyDescent="0.15">
      <c r="A48" s="16" t="s">
        <v>70</v>
      </c>
      <c r="B48" s="44">
        <v>59.2</v>
      </c>
      <c r="C48" s="44">
        <v>50.1</v>
      </c>
      <c r="D48" s="44">
        <v>54.2</v>
      </c>
      <c r="E48" s="44">
        <v>40.4</v>
      </c>
      <c r="F48" s="44">
        <v>40</v>
      </c>
      <c r="G48" s="44">
        <v>41.3</v>
      </c>
      <c r="H48" s="44">
        <v>37.6</v>
      </c>
      <c r="I48" s="53">
        <v>36.1</v>
      </c>
      <c r="J48" s="44">
        <v>31.7</v>
      </c>
      <c r="K48" s="44">
        <v>30.8</v>
      </c>
      <c r="L48" s="44">
        <v>29.6</v>
      </c>
      <c r="M48" s="44">
        <v>29.3</v>
      </c>
      <c r="N48" s="44">
        <v>21.8</v>
      </c>
      <c r="O48" s="44">
        <v>19.899999999999999</v>
      </c>
      <c r="P48" s="44">
        <v>23.1</v>
      </c>
      <c r="Q48" s="44">
        <v>21.3</v>
      </c>
      <c r="R48" s="44">
        <v>20.8</v>
      </c>
      <c r="S48" s="44">
        <v>15</v>
      </c>
      <c r="T48" s="44">
        <v>15.1</v>
      </c>
      <c r="U48" s="44">
        <v>13.7</v>
      </c>
      <c r="V48" s="44">
        <v>16.2</v>
      </c>
      <c r="W48" s="44">
        <v>18</v>
      </c>
      <c r="X48" s="44">
        <v>12.5</v>
      </c>
      <c r="Y48" s="44">
        <v>11.4</v>
      </c>
      <c r="Z48" s="44">
        <v>8.6</v>
      </c>
      <c r="AA48" s="44">
        <v>9.4</v>
      </c>
      <c r="AB48" s="44">
        <v>8.3000000000000007</v>
      </c>
      <c r="AC48" s="44">
        <v>6.1</v>
      </c>
      <c r="AD48" s="44">
        <v>8</v>
      </c>
      <c r="AE48" s="44">
        <v>5</v>
      </c>
      <c r="AF48" s="44">
        <v>5.4</v>
      </c>
      <c r="AG48" s="44">
        <v>4.5</v>
      </c>
      <c r="AH48" s="44">
        <v>4.4000000000000004</v>
      </c>
      <c r="AI48" s="44">
        <v>5.3</v>
      </c>
      <c r="AJ48" s="44">
        <v>4.0999999999999996</v>
      </c>
      <c r="AK48" s="44">
        <v>3.1</v>
      </c>
      <c r="AL48" s="44">
        <v>3.1</v>
      </c>
      <c r="AM48" s="44">
        <v>3.6</v>
      </c>
      <c r="AN48" s="44">
        <v>2.9</v>
      </c>
      <c r="AO48" s="23">
        <v>3.2</v>
      </c>
      <c r="AP48" s="23">
        <v>2.2000000000000002</v>
      </c>
      <c r="AQ48" s="4">
        <v>2.6</v>
      </c>
      <c r="AR48" s="23">
        <v>2</v>
      </c>
      <c r="AS48" s="23">
        <v>2</v>
      </c>
      <c r="AT48" s="23">
        <v>2.6</v>
      </c>
      <c r="AU48" s="23">
        <v>2.6</v>
      </c>
      <c r="AV48" s="23">
        <v>1.1000000000000001</v>
      </c>
      <c r="AW48" s="23">
        <v>1.3</v>
      </c>
      <c r="AX48" s="4">
        <v>1.2</v>
      </c>
      <c r="AY48" s="4">
        <v>0.9</v>
      </c>
      <c r="AZ48" s="4">
        <v>1.5</v>
      </c>
      <c r="BA48" s="4">
        <v>1.6</v>
      </c>
      <c r="BB48" s="4">
        <v>1.2</v>
      </c>
      <c r="BC48" s="4">
        <v>1.4</v>
      </c>
      <c r="BD48" s="4">
        <v>0.9</v>
      </c>
      <c r="BE48" s="4">
        <v>1.1000000000000001</v>
      </c>
      <c r="BF48" s="4">
        <v>2.1</v>
      </c>
      <c r="BG48" s="23">
        <v>2.2000000000000002</v>
      </c>
      <c r="BH48" s="23">
        <v>1.2</v>
      </c>
      <c r="BI48" s="23">
        <v>2.1</v>
      </c>
      <c r="BJ48" s="23">
        <v>2.5</v>
      </c>
      <c r="BK48" s="4">
        <v>1.4</v>
      </c>
      <c r="BL48" s="23">
        <v>2.1</v>
      </c>
      <c r="BM48" s="4">
        <v>1.4</v>
      </c>
      <c r="BN48" s="4">
        <v>1.6</v>
      </c>
      <c r="BO48" s="4">
        <v>2.4</v>
      </c>
      <c r="BP48" s="55">
        <v>1.2</v>
      </c>
      <c r="BQ48" s="66">
        <v>1.8</v>
      </c>
    </row>
    <row r="49" spans="1:70" s="7" customFormat="1" x14ac:dyDescent="0.15">
      <c r="A49" s="16" t="s">
        <v>71</v>
      </c>
      <c r="B49" s="44">
        <v>59.2</v>
      </c>
      <c r="C49" s="44">
        <v>57.1</v>
      </c>
      <c r="D49" s="44">
        <v>56.6</v>
      </c>
      <c r="E49" s="44">
        <v>52.3</v>
      </c>
      <c r="F49" s="44">
        <v>48.5</v>
      </c>
      <c r="G49" s="44">
        <v>45.5</v>
      </c>
      <c r="H49" s="44">
        <v>41.3</v>
      </c>
      <c r="I49" s="44">
        <v>40</v>
      </c>
      <c r="J49" s="44">
        <v>35.1</v>
      </c>
      <c r="K49" s="44">
        <v>34.4</v>
      </c>
      <c r="L49" s="44">
        <v>35</v>
      </c>
      <c r="M49" s="44">
        <v>28.2</v>
      </c>
      <c r="N49" s="44">
        <v>26.2</v>
      </c>
      <c r="O49" s="44">
        <v>27.4</v>
      </c>
      <c r="P49" s="44">
        <v>25.4</v>
      </c>
      <c r="Q49" s="44">
        <v>26.7</v>
      </c>
      <c r="R49" s="44">
        <v>23.1</v>
      </c>
      <c r="S49" s="44">
        <v>21.4</v>
      </c>
      <c r="T49" s="44">
        <v>20.6</v>
      </c>
      <c r="U49" s="44">
        <v>16</v>
      </c>
      <c r="V49" s="44">
        <v>15.4</v>
      </c>
      <c r="W49" s="53">
        <v>15.6</v>
      </c>
      <c r="X49" s="44">
        <v>13.2</v>
      </c>
      <c r="Y49" s="53">
        <v>13</v>
      </c>
      <c r="Z49" s="44">
        <v>9.5</v>
      </c>
      <c r="AA49" s="44">
        <v>7.2</v>
      </c>
      <c r="AB49" s="44">
        <v>6.5</v>
      </c>
      <c r="AC49" s="44">
        <v>7.1</v>
      </c>
      <c r="AD49" s="44">
        <v>6.8</v>
      </c>
      <c r="AE49" s="44">
        <v>5.6</v>
      </c>
      <c r="AF49" s="44">
        <v>4.9000000000000004</v>
      </c>
      <c r="AG49" s="44">
        <v>4.4000000000000004</v>
      </c>
      <c r="AH49" s="44">
        <v>3.7</v>
      </c>
      <c r="AI49" s="44">
        <v>3.1</v>
      </c>
      <c r="AJ49" s="44">
        <v>2.9</v>
      </c>
      <c r="AK49" s="44">
        <v>3.4</v>
      </c>
      <c r="AL49" s="44">
        <v>3.3</v>
      </c>
      <c r="AM49" s="44">
        <v>2.7</v>
      </c>
      <c r="AN49" s="44">
        <v>2.1</v>
      </c>
      <c r="AO49" s="23">
        <v>2.4</v>
      </c>
      <c r="AP49" s="23">
        <v>2.5</v>
      </c>
      <c r="AQ49" s="4">
        <v>2.2000000000000002</v>
      </c>
      <c r="AR49" s="23">
        <v>2.5</v>
      </c>
      <c r="AS49" s="23">
        <v>2</v>
      </c>
      <c r="AT49" s="23">
        <v>2.7</v>
      </c>
      <c r="AU49" s="23">
        <v>1.7</v>
      </c>
      <c r="AV49" s="23">
        <v>1.4</v>
      </c>
      <c r="AW49" s="23">
        <v>1.4</v>
      </c>
      <c r="AX49" s="4">
        <v>1.8</v>
      </c>
      <c r="AY49" s="4">
        <v>2</v>
      </c>
      <c r="AZ49" s="4">
        <v>1.7</v>
      </c>
      <c r="BA49" s="4">
        <v>2.4</v>
      </c>
      <c r="BB49" s="4">
        <v>1.3</v>
      </c>
      <c r="BC49" s="4">
        <v>1.4</v>
      </c>
      <c r="BD49" s="4">
        <v>1.8</v>
      </c>
      <c r="BE49" s="4">
        <v>2.1</v>
      </c>
      <c r="BF49" s="4">
        <v>1.1000000000000001</v>
      </c>
      <c r="BG49" s="23">
        <v>2.1</v>
      </c>
      <c r="BH49" s="23">
        <v>2.1</v>
      </c>
      <c r="BI49" s="23">
        <v>1.8</v>
      </c>
      <c r="BJ49" s="23">
        <v>1.9</v>
      </c>
      <c r="BK49" s="4">
        <v>2</v>
      </c>
      <c r="BL49" s="23">
        <v>2.1</v>
      </c>
      <c r="BM49" s="4">
        <v>2.1</v>
      </c>
      <c r="BN49" s="4">
        <v>2.6</v>
      </c>
      <c r="BO49" s="4">
        <v>1.8</v>
      </c>
      <c r="BP49" s="55">
        <v>1.7</v>
      </c>
      <c r="BQ49" s="66">
        <v>1.9</v>
      </c>
    </row>
    <row r="50" spans="1:70" s="7" customFormat="1" x14ac:dyDescent="0.15">
      <c r="A50" s="16" t="s">
        <v>72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"/>
      <c r="Q50" s="4"/>
      <c r="R50" s="4"/>
      <c r="S50" s="4"/>
      <c r="T50" s="44">
        <v>8</v>
      </c>
      <c r="U50" s="44">
        <v>8.1</v>
      </c>
      <c r="V50" s="44">
        <v>5</v>
      </c>
      <c r="W50" s="53">
        <v>5.8</v>
      </c>
      <c r="X50" s="44">
        <v>7</v>
      </c>
      <c r="Y50" s="44">
        <v>4.9000000000000004</v>
      </c>
      <c r="Z50" s="44">
        <v>2.8</v>
      </c>
      <c r="AA50" s="44">
        <v>3.6</v>
      </c>
      <c r="AB50" s="44">
        <v>3.2</v>
      </c>
      <c r="AC50" s="44">
        <v>3</v>
      </c>
      <c r="AD50" s="44">
        <v>2.5</v>
      </c>
      <c r="AE50" s="44">
        <v>2.1</v>
      </c>
      <c r="AF50" s="44">
        <v>2.4</v>
      </c>
      <c r="AG50" s="44">
        <v>2.1</v>
      </c>
      <c r="AH50" s="44">
        <v>2.4</v>
      </c>
      <c r="AI50" s="44">
        <v>1.5</v>
      </c>
      <c r="AJ50" s="44">
        <v>2.7</v>
      </c>
      <c r="AK50" s="44">
        <v>2.6</v>
      </c>
      <c r="AL50" s="44">
        <v>2.2000000000000002</v>
      </c>
      <c r="AM50" s="44">
        <v>1</v>
      </c>
      <c r="AN50" s="44">
        <v>2.2999999999999998</v>
      </c>
      <c r="AO50" s="23">
        <v>1.7</v>
      </c>
      <c r="AP50" s="23">
        <v>2.4</v>
      </c>
      <c r="AQ50" s="4">
        <v>1.3</v>
      </c>
      <c r="AR50" s="23">
        <v>1.4</v>
      </c>
      <c r="AS50" s="23">
        <v>1.5</v>
      </c>
      <c r="AT50" s="23">
        <v>1.7</v>
      </c>
      <c r="AU50" s="23">
        <v>1.8</v>
      </c>
      <c r="AV50" s="23">
        <v>2</v>
      </c>
      <c r="AW50" s="23">
        <v>1</v>
      </c>
      <c r="AX50" s="4">
        <v>1.7</v>
      </c>
      <c r="AY50" s="4">
        <v>1.3</v>
      </c>
      <c r="AZ50" s="4">
        <v>1.3</v>
      </c>
      <c r="BA50" s="4">
        <v>2</v>
      </c>
      <c r="BB50" s="4">
        <v>1.5</v>
      </c>
      <c r="BC50" s="4">
        <v>2</v>
      </c>
      <c r="BD50" s="4">
        <v>1.6</v>
      </c>
      <c r="BE50" s="4">
        <v>1.7</v>
      </c>
      <c r="BF50" s="4">
        <v>2.7</v>
      </c>
      <c r="BG50" s="23">
        <v>3</v>
      </c>
      <c r="BH50" s="23">
        <v>1.9</v>
      </c>
      <c r="BI50" s="23">
        <v>1.7</v>
      </c>
      <c r="BJ50" s="23">
        <v>1.6</v>
      </c>
      <c r="BK50" s="4">
        <v>1</v>
      </c>
      <c r="BL50" s="23">
        <v>2.1</v>
      </c>
      <c r="BM50" s="4">
        <v>1.7</v>
      </c>
      <c r="BN50" s="4">
        <v>1.5</v>
      </c>
      <c r="BO50" s="4">
        <v>1.5</v>
      </c>
      <c r="BP50" s="55">
        <v>1.7</v>
      </c>
      <c r="BQ50" s="66">
        <v>1.6</v>
      </c>
    </row>
    <row r="51" spans="1:70" s="7" customFormat="1" ht="8.25" customHeight="1" x14ac:dyDescent="0.15">
      <c r="A51" s="1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4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7"/>
      <c r="AV51" s="37"/>
      <c r="AW51" s="37"/>
      <c r="AX51" s="37"/>
      <c r="AY51" s="37"/>
      <c r="AZ51" s="37"/>
      <c r="BA51" s="44"/>
      <c r="BB51" s="37"/>
      <c r="BC51" s="37"/>
      <c r="BD51" s="47"/>
      <c r="BE51" s="47"/>
      <c r="BF51" s="39"/>
      <c r="BG51" s="40"/>
      <c r="BH51" s="39"/>
      <c r="BI51" s="42"/>
      <c r="BJ51" s="42"/>
      <c r="BK51" s="41"/>
      <c r="BL51" s="39"/>
      <c r="BM51" s="39"/>
      <c r="BN51" s="39"/>
      <c r="BO51" s="39"/>
    </row>
    <row r="52" spans="1:70" s="7" customFormat="1" x14ac:dyDescent="0.15">
      <c r="A52" s="16" t="s">
        <v>25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6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45"/>
      <c r="AR52" s="45"/>
      <c r="AS52" s="45"/>
      <c r="AT52" s="45"/>
      <c r="AU52" s="37"/>
      <c r="AV52" s="37"/>
      <c r="AW52" s="37"/>
      <c r="AX52" s="37"/>
      <c r="AY52" s="37"/>
      <c r="AZ52" s="37"/>
      <c r="BA52" s="38"/>
      <c r="BB52" s="37"/>
      <c r="BC52" s="37"/>
      <c r="BD52" s="39"/>
      <c r="BE52" s="39"/>
      <c r="BF52" s="39"/>
      <c r="BG52" s="40"/>
      <c r="BH52" s="39"/>
      <c r="BI52" s="42"/>
      <c r="BJ52" s="39"/>
      <c r="BK52" s="41"/>
      <c r="BL52" s="39"/>
      <c r="BM52" s="46"/>
      <c r="BN52" s="42"/>
      <c r="BO52" s="48"/>
    </row>
    <row r="53" spans="1:70" s="7" customFormat="1" x14ac:dyDescent="0.15">
      <c r="A53" s="16" t="s">
        <v>26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45"/>
      <c r="AR53" s="45"/>
      <c r="AS53" s="45"/>
      <c r="AT53" s="45"/>
      <c r="AU53" s="37"/>
      <c r="AV53" s="37"/>
      <c r="AW53" s="37"/>
      <c r="AX53" s="37"/>
      <c r="AY53" s="37"/>
      <c r="AZ53" s="37"/>
      <c r="BA53" s="44"/>
      <c r="BB53" s="37"/>
      <c r="BC53" s="37"/>
      <c r="BD53" s="39"/>
      <c r="BE53" s="39"/>
      <c r="BF53" s="39"/>
      <c r="BG53" s="40"/>
      <c r="BH53" s="39"/>
      <c r="BI53" s="42"/>
      <c r="BJ53" s="39"/>
      <c r="BK53" s="41"/>
      <c r="BL53" s="39"/>
      <c r="BM53" s="46"/>
      <c r="BN53" s="42"/>
      <c r="BO53" s="39"/>
    </row>
    <row r="54" spans="1:70" s="7" customFormat="1" x14ac:dyDescent="0.15">
      <c r="A54" s="1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4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7"/>
      <c r="AV54" s="37"/>
      <c r="AW54" s="37"/>
      <c r="AX54" s="37"/>
      <c r="AY54" s="37"/>
      <c r="AZ54" s="37"/>
      <c r="BA54" s="38"/>
      <c r="BB54" s="37"/>
      <c r="BC54" s="37"/>
      <c r="BD54" s="49"/>
      <c r="BE54" s="49"/>
      <c r="BF54" s="40"/>
      <c r="BG54" s="40"/>
      <c r="BH54" s="39"/>
      <c r="BI54" s="42"/>
      <c r="BJ54" s="39"/>
      <c r="BK54" s="41"/>
      <c r="BL54" s="39"/>
      <c r="BM54" s="39"/>
      <c r="BN54" s="39"/>
      <c r="BO54" s="39"/>
    </row>
    <row r="55" spans="1:70" s="7" customFormat="1" x14ac:dyDescent="0.15">
      <c r="A55" s="16" t="s">
        <v>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36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23"/>
      <c r="AP55" s="45"/>
      <c r="AQ55" s="45"/>
      <c r="AR55" s="45"/>
      <c r="AS55" s="45"/>
      <c r="AT55" s="45"/>
      <c r="AU55" s="37"/>
      <c r="AV55" s="37"/>
      <c r="AW55" s="37"/>
      <c r="AX55" s="37"/>
      <c r="AY55" s="37"/>
      <c r="AZ55" s="37"/>
      <c r="BA55" s="44"/>
      <c r="BB55" s="37"/>
      <c r="BC55" s="37"/>
      <c r="BD55" s="50"/>
      <c r="BE55" s="50"/>
      <c r="BF55" s="40"/>
      <c r="BG55" s="40"/>
      <c r="BH55" s="39"/>
      <c r="BI55" s="39"/>
      <c r="BJ55" s="39"/>
      <c r="BK55" s="41"/>
      <c r="BL55" s="39"/>
      <c r="BM55" s="39"/>
      <c r="BN55" s="39"/>
      <c r="BO55" s="39"/>
    </row>
    <row r="56" spans="1:70" s="7" customFormat="1" x14ac:dyDescent="0.15">
      <c r="A56" s="16" t="s">
        <v>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23">
        <v>1.8</v>
      </c>
      <c r="AP56" s="23">
        <v>1.9</v>
      </c>
      <c r="AQ56" s="4">
        <v>1</v>
      </c>
      <c r="AR56" s="23">
        <v>1.1000000000000001</v>
      </c>
      <c r="AS56" s="23">
        <v>1.6</v>
      </c>
      <c r="AT56" s="23">
        <v>1.8</v>
      </c>
      <c r="AU56" s="23">
        <v>0.9</v>
      </c>
      <c r="AV56" s="23">
        <v>1.3</v>
      </c>
      <c r="AW56" s="23">
        <v>1.7</v>
      </c>
      <c r="AX56" s="4">
        <v>1.8</v>
      </c>
      <c r="AY56" s="4">
        <v>1.1000000000000001</v>
      </c>
      <c r="AZ56" s="4">
        <v>1.3</v>
      </c>
      <c r="BA56" s="4">
        <v>1</v>
      </c>
      <c r="BB56" s="4">
        <v>1.7</v>
      </c>
      <c r="BC56" s="4">
        <v>0.6</v>
      </c>
      <c r="BD56" s="4">
        <v>1.3</v>
      </c>
      <c r="BE56" s="4">
        <v>1.4</v>
      </c>
      <c r="BF56" s="4">
        <v>0.7</v>
      </c>
      <c r="BG56" s="23">
        <v>1</v>
      </c>
      <c r="BH56" s="23">
        <v>1.1000000000000001</v>
      </c>
      <c r="BI56" s="23">
        <v>1.1000000000000001</v>
      </c>
      <c r="BJ56" s="23">
        <v>0.7</v>
      </c>
      <c r="BK56" s="4">
        <v>0.7</v>
      </c>
      <c r="BL56" s="23">
        <v>1.2</v>
      </c>
      <c r="BM56" s="4">
        <v>1.2</v>
      </c>
      <c r="BN56" s="4">
        <v>1.4</v>
      </c>
      <c r="BO56" s="4">
        <v>0.8</v>
      </c>
      <c r="BP56" s="56">
        <v>0.7</v>
      </c>
      <c r="BQ56" s="66">
        <v>1.1000000000000001</v>
      </c>
      <c r="BR56" s="69"/>
    </row>
    <row r="57" spans="1:70" s="7" customFormat="1" x14ac:dyDescent="0.15">
      <c r="A57" s="16" t="s">
        <v>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23">
        <v>1.1000000000000001</v>
      </c>
      <c r="AP57" s="23">
        <v>1.6</v>
      </c>
      <c r="AQ57" s="4">
        <v>1.6</v>
      </c>
      <c r="AR57" s="23">
        <v>2.1</v>
      </c>
      <c r="AS57" s="23">
        <v>1.1000000000000001</v>
      </c>
      <c r="AT57" s="23">
        <v>0.7</v>
      </c>
      <c r="AU57" s="23">
        <v>1</v>
      </c>
      <c r="AV57" s="23">
        <v>0.9</v>
      </c>
      <c r="AW57" s="23">
        <v>1.5</v>
      </c>
      <c r="AX57" s="4">
        <v>0.8</v>
      </c>
      <c r="AY57" s="4">
        <v>0.9</v>
      </c>
      <c r="AZ57" s="4">
        <v>1.1000000000000001</v>
      </c>
      <c r="BA57" s="4">
        <v>1.2</v>
      </c>
      <c r="BB57" s="4">
        <v>1.1000000000000001</v>
      </c>
      <c r="BC57" s="4">
        <v>0.8</v>
      </c>
      <c r="BD57" s="4">
        <v>1.3</v>
      </c>
      <c r="BE57" s="4">
        <v>1.6</v>
      </c>
      <c r="BF57" s="4">
        <v>0.8</v>
      </c>
      <c r="BG57" s="23">
        <v>1.2</v>
      </c>
      <c r="BH57" s="23">
        <v>1.1000000000000001</v>
      </c>
      <c r="BI57" s="23">
        <v>1.2</v>
      </c>
      <c r="BJ57" s="23">
        <v>0.7</v>
      </c>
      <c r="BK57" s="4">
        <v>0.8</v>
      </c>
      <c r="BL57" s="23">
        <v>0.5</v>
      </c>
      <c r="BM57" s="4">
        <v>1.4</v>
      </c>
      <c r="BN57" s="4">
        <v>0.4</v>
      </c>
      <c r="BO57" s="4">
        <v>0.8</v>
      </c>
      <c r="BP57" s="56">
        <v>0.9</v>
      </c>
      <c r="BQ57" s="66">
        <v>0.9</v>
      </c>
      <c r="BR57" s="69"/>
    </row>
    <row r="58" spans="1:70" s="7" customFormat="1" x14ac:dyDescent="0.15">
      <c r="A58" s="16" t="s">
        <v>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23"/>
      <c r="AP58" s="45"/>
      <c r="AQ58" s="45"/>
      <c r="AR58" s="45"/>
      <c r="AS58" s="45"/>
      <c r="AT58" s="45"/>
      <c r="AU58" s="37"/>
      <c r="AV58" s="37"/>
      <c r="AW58" s="37"/>
      <c r="AX58" s="4">
        <v>1</v>
      </c>
      <c r="AY58" s="4">
        <v>1.8</v>
      </c>
      <c r="AZ58" s="4">
        <v>1.5</v>
      </c>
      <c r="BA58" s="4">
        <v>0.8</v>
      </c>
      <c r="BB58" s="4">
        <v>1.2</v>
      </c>
      <c r="BC58" s="4">
        <v>1</v>
      </c>
      <c r="BD58" s="4">
        <v>1.2</v>
      </c>
      <c r="BE58" s="4">
        <v>0.9</v>
      </c>
      <c r="BF58" s="4">
        <v>1.7</v>
      </c>
      <c r="BG58" s="23">
        <v>1.9</v>
      </c>
      <c r="BH58" s="23">
        <v>1.6</v>
      </c>
      <c r="BI58" s="23">
        <v>1.2</v>
      </c>
      <c r="BJ58" s="23">
        <v>1</v>
      </c>
      <c r="BK58" s="4">
        <v>0.9</v>
      </c>
      <c r="BL58" s="23">
        <v>1.9</v>
      </c>
      <c r="BM58" s="4">
        <v>1.2</v>
      </c>
      <c r="BN58" s="4">
        <v>1.4</v>
      </c>
      <c r="BO58" s="4">
        <v>1.2</v>
      </c>
      <c r="BP58" s="56">
        <v>1.5</v>
      </c>
      <c r="BQ58" s="66">
        <v>1.6</v>
      </c>
    </row>
    <row r="59" spans="1:70" s="7" customFormat="1" x14ac:dyDescent="0.15">
      <c r="A59" s="16" t="s">
        <v>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23">
        <v>2</v>
      </c>
      <c r="AP59" s="23">
        <v>2</v>
      </c>
      <c r="AQ59" s="4">
        <v>1.4</v>
      </c>
      <c r="AR59" s="23">
        <v>1.2</v>
      </c>
      <c r="AS59" s="23">
        <v>1</v>
      </c>
      <c r="AT59" s="23">
        <v>1.8</v>
      </c>
      <c r="AU59" s="23">
        <v>1.5</v>
      </c>
      <c r="AV59" s="23">
        <v>0.8</v>
      </c>
      <c r="AW59" s="23">
        <v>1.7</v>
      </c>
      <c r="AX59" s="4">
        <v>1.6</v>
      </c>
      <c r="AY59" s="4">
        <v>1.4</v>
      </c>
      <c r="AZ59" s="4">
        <v>1.2</v>
      </c>
      <c r="BA59" s="4">
        <v>1.7</v>
      </c>
      <c r="BB59" s="4">
        <v>1.3</v>
      </c>
      <c r="BC59" s="4">
        <v>1.6</v>
      </c>
      <c r="BD59" s="4">
        <v>1.6</v>
      </c>
      <c r="BE59" s="4">
        <v>1.9</v>
      </c>
      <c r="BF59" s="4">
        <v>1.8</v>
      </c>
      <c r="BG59" s="23">
        <v>2</v>
      </c>
      <c r="BH59" s="23">
        <v>1.7</v>
      </c>
      <c r="BI59" s="23">
        <v>1.8</v>
      </c>
      <c r="BJ59" s="23">
        <v>1.2</v>
      </c>
      <c r="BK59" s="4">
        <v>0.9</v>
      </c>
      <c r="BL59" s="23">
        <v>1.4</v>
      </c>
      <c r="BM59" s="4">
        <v>1.2</v>
      </c>
      <c r="BN59" s="4">
        <v>1</v>
      </c>
      <c r="BO59" s="4">
        <v>1.5</v>
      </c>
      <c r="BP59" s="56">
        <v>1.1000000000000001</v>
      </c>
      <c r="BQ59" s="66">
        <v>1.5</v>
      </c>
    </row>
    <row r="60" spans="1:70" s="7" customFormat="1" x14ac:dyDescent="0.15">
      <c r="A60" s="16" t="s">
        <v>10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23">
        <v>2.2999999999999998</v>
      </c>
      <c r="AP60" s="23">
        <v>2.4</v>
      </c>
      <c r="AQ60" s="4">
        <v>2.2999999999999998</v>
      </c>
      <c r="AR60" s="23">
        <v>2.8</v>
      </c>
      <c r="AS60" s="23">
        <v>1.8</v>
      </c>
      <c r="AT60" s="23">
        <v>2.5</v>
      </c>
      <c r="AU60" s="23">
        <v>2</v>
      </c>
      <c r="AV60" s="23">
        <v>2.1</v>
      </c>
      <c r="AW60" s="23">
        <v>2</v>
      </c>
      <c r="AX60" s="4">
        <v>1.9</v>
      </c>
      <c r="AY60" s="4">
        <v>1.7</v>
      </c>
      <c r="AZ60" s="4">
        <v>2.1</v>
      </c>
      <c r="BA60" s="4">
        <v>1.7</v>
      </c>
      <c r="BB60" s="4">
        <v>1.7</v>
      </c>
      <c r="BC60" s="4">
        <v>1.6</v>
      </c>
      <c r="BD60" s="4">
        <v>1.8</v>
      </c>
      <c r="BE60" s="4">
        <v>1.8</v>
      </c>
      <c r="BF60" s="4">
        <v>1.2</v>
      </c>
      <c r="BG60" s="23">
        <v>1.6</v>
      </c>
      <c r="BH60" s="23">
        <v>1.4</v>
      </c>
      <c r="BI60" s="23">
        <v>1.5</v>
      </c>
      <c r="BJ60" s="23">
        <v>1.1000000000000001</v>
      </c>
      <c r="BK60" s="4">
        <v>1.2</v>
      </c>
      <c r="BL60" s="23">
        <v>1.7</v>
      </c>
      <c r="BM60" s="4">
        <v>1.1000000000000001</v>
      </c>
      <c r="BN60" s="4">
        <v>1.6</v>
      </c>
      <c r="BO60" s="4">
        <v>1.4</v>
      </c>
      <c r="BP60" s="56">
        <v>1</v>
      </c>
      <c r="BQ60" s="66">
        <v>1.2</v>
      </c>
    </row>
    <row r="61" spans="1:70" s="7" customFormat="1" x14ac:dyDescent="0.15">
      <c r="A61" s="16" t="s">
        <v>11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23">
        <v>2.7</v>
      </c>
      <c r="AP61" s="23">
        <v>1.4</v>
      </c>
      <c r="AQ61" s="4">
        <v>1.9</v>
      </c>
      <c r="AR61" s="23">
        <v>1.8</v>
      </c>
      <c r="AS61" s="23">
        <v>1.6</v>
      </c>
      <c r="AT61" s="23">
        <v>2.2999999999999998</v>
      </c>
      <c r="AU61" s="23">
        <v>1.1000000000000001</v>
      </c>
      <c r="AV61" s="23">
        <v>2.4</v>
      </c>
      <c r="AW61" s="23">
        <v>1.8</v>
      </c>
      <c r="AX61" s="4">
        <v>2.1</v>
      </c>
      <c r="AY61" s="4">
        <v>1.4</v>
      </c>
      <c r="AZ61" s="4">
        <v>2.1</v>
      </c>
      <c r="BA61" s="4">
        <v>2.2000000000000002</v>
      </c>
      <c r="BB61" s="4">
        <v>0.9</v>
      </c>
      <c r="BC61" s="4">
        <v>2</v>
      </c>
      <c r="BD61" s="4">
        <v>1.6</v>
      </c>
      <c r="BE61" s="4">
        <v>1.6</v>
      </c>
      <c r="BF61" s="4">
        <v>1</v>
      </c>
      <c r="BG61" s="23">
        <v>1.7</v>
      </c>
      <c r="BH61" s="23">
        <v>1.1000000000000001</v>
      </c>
      <c r="BI61" s="23">
        <v>0.8</v>
      </c>
      <c r="BJ61" s="23">
        <v>1</v>
      </c>
      <c r="BK61" s="4">
        <v>0.9</v>
      </c>
      <c r="BL61" s="23">
        <v>1.8</v>
      </c>
      <c r="BM61" s="4">
        <v>1.5</v>
      </c>
      <c r="BN61" s="4">
        <v>0.8</v>
      </c>
      <c r="BO61" s="4">
        <v>1.3</v>
      </c>
      <c r="BP61" s="56">
        <v>1</v>
      </c>
      <c r="BQ61" s="66">
        <v>0.9</v>
      </c>
    </row>
    <row r="62" spans="1:70" s="7" customFormat="1" x14ac:dyDescent="0.15">
      <c r="A62" s="16" t="s">
        <v>12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23"/>
      <c r="AP62" s="45"/>
      <c r="AQ62" s="45"/>
      <c r="AR62" s="45"/>
      <c r="AS62" s="45"/>
      <c r="AT62" s="45"/>
      <c r="AU62" s="37"/>
      <c r="AV62" s="37"/>
      <c r="AW62" s="37"/>
      <c r="AX62" s="37"/>
      <c r="AY62" s="37"/>
      <c r="AZ62" s="37"/>
      <c r="BA62" s="44"/>
      <c r="BB62" s="37"/>
      <c r="BC62" s="37"/>
      <c r="BD62" s="39"/>
      <c r="BE62" s="4">
        <v>1.3</v>
      </c>
      <c r="BF62" s="4">
        <v>1.3</v>
      </c>
      <c r="BG62" s="23">
        <v>1.5</v>
      </c>
      <c r="BH62" s="23">
        <v>1.5</v>
      </c>
      <c r="BI62" s="23">
        <v>1.4</v>
      </c>
      <c r="BJ62" s="23">
        <v>1</v>
      </c>
      <c r="BK62" s="4">
        <v>0.7</v>
      </c>
      <c r="BL62" s="23">
        <v>0.7</v>
      </c>
      <c r="BM62" s="4">
        <v>1.2</v>
      </c>
      <c r="BN62" s="4">
        <v>1.1000000000000001</v>
      </c>
      <c r="BO62" s="4">
        <v>1.4</v>
      </c>
      <c r="BP62" s="56">
        <v>1</v>
      </c>
      <c r="BQ62" s="66">
        <v>0.8</v>
      </c>
    </row>
    <row r="63" spans="1:70" s="7" customFormat="1" x14ac:dyDescent="0.15">
      <c r="A63" s="16" t="s">
        <v>13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23"/>
      <c r="AP63" s="45"/>
      <c r="AQ63" s="45"/>
      <c r="AR63" s="45"/>
      <c r="AS63" s="45"/>
      <c r="AT63" s="45"/>
      <c r="AU63" s="37"/>
      <c r="AV63" s="37"/>
      <c r="AW63" s="37"/>
      <c r="AX63" s="37"/>
      <c r="AY63" s="37"/>
      <c r="AZ63" s="37"/>
      <c r="BA63" s="44"/>
      <c r="BB63" s="4">
        <v>0.6</v>
      </c>
      <c r="BC63" s="4">
        <v>1</v>
      </c>
      <c r="BD63" s="4">
        <v>1.5</v>
      </c>
      <c r="BE63" s="4">
        <v>1.2</v>
      </c>
      <c r="BF63" s="4">
        <v>1</v>
      </c>
      <c r="BG63" s="23">
        <v>1</v>
      </c>
      <c r="BH63" s="23">
        <v>0.7</v>
      </c>
      <c r="BI63" s="23">
        <v>1</v>
      </c>
      <c r="BJ63" s="23">
        <v>0.9</v>
      </c>
      <c r="BK63" s="4">
        <v>1.5</v>
      </c>
      <c r="BL63" s="23">
        <v>1.4</v>
      </c>
      <c r="BM63" s="4">
        <v>1.7</v>
      </c>
      <c r="BN63" s="4">
        <v>1</v>
      </c>
      <c r="BO63" s="4">
        <v>1.9</v>
      </c>
      <c r="BP63" s="56">
        <v>1.3</v>
      </c>
      <c r="BQ63" s="66">
        <v>0.6</v>
      </c>
    </row>
    <row r="64" spans="1:70" s="7" customFormat="1" x14ac:dyDescent="0.15">
      <c r="A64" s="16" t="s">
        <v>14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23"/>
      <c r="AP64" s="45"/>
      <c r="AQ64" s="45"/>
      <c r="AR64" s="45"/>
      <c r="AS64" s="45"/>
      <c r="AT64" s="45"/>
      <c r="AU64" s="37"/>
      <c r="AV64" s="37"/>
      <c r="AW64" s="37"/>
      <c r="AX64" s="37"/>
      <c r="AY64" s="37"/>
      <c r="AZ64" s="4">
        <v>2.2999999999999998</v>
      </c>
      <c r="BA64" s="4">
        <v>2.4</v>
      </c>
      <c r="BB64" s="4">
        <v>1.5</v>
      </c>
      <c r="BC64" s="4">
        <v>2.7</v>
      </c>
      <c r="BD64" s="4">
        <v>2.1</v>
      </c>
      <c r="BE64" s="4">
        <v>2.8</v>
      </c>
      <c r="BF64" s="4">
        <v>2</v>
      </c>
      <c r="BG64" s="23">
        <v>2.4</v>
      </c>
      <c r="BH64" s="23">
        <v>1.7</v>
      </c>
      <c r="BI64" s="23">
        <v>1.8</v>
      </c>
      <c r="BJ64" s="23">
        <v>2</v>
      </c>
      <c r="BK64" s="4">
        <v>1.7</v>
      </c>
      <c r="BL64" s="23">
        <v>1.4</v>
      </c>
      <c r="BM64" s="4">
        <v>2.9</v>
      </c>
      <c r="BN64" s="4">
        <v>1.9</v>
      </c>
      <c r="BO64" s="4">
        <v>1.3</v>
      </c>
      <c r="BP64" s="56">
        <v>0.7</v>
      </c>
      <c r="BQ64" s="66">
        <v>0.4</v>
      </c>
    </row>
    <row r="65" spans="1:69" s="7" customFormat="1" x14ac:dyDescent="0.15">
      <c r="A65" s="16" t="s">
        <v>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23"/>
      <c r="AP65" s="45"/>
      <c r="AQ65" s="45"/>
      <c r="AR65" s="45"/>
      <c r="AS65" s="45"/>
      <c r="AT65" s="45"/>
      <c r="AU65" s="37"/>
      <c r="AV65" s="37"/>
      <c r="AW65" s="37"/>
      <c r="AX65" s="37"/>
      <c r="AY65" s="37"/>
      <c r="AZ65" s="37"/>
      <c r="BA65" s="44"/>
      <c r="BB65" s="4">
        <v>2</v>
      </c>
      <c r="BC65" s="4">
        <v>2</v>
      </c>
      <c r="BD65" s="4">
        <v>3.3</v>
      </c>
      <c r="BE65" s="4">
        <v>1.7</v>
      </c>
      <c r="BF65" s="4">
        <v>2</v>
      </c>
      <c r="BG65" s="23">
        <v>0.9</v>
      </c>
      <c r="BH65" s="23">
        <v>1.3</v>
      </c>
      <c r="BI65" s="23">
        <v>1.6</v>
      </c>
      <c r="BJ65" s="23">
        <v>0.5</v>
      </c>
      <c r="BK65" s="4">
        <v>1.5</v>
      </c>
      <c r="BL65" s="23">
        <v>0.9</v>
      </c>
      <c r="BM65" s="4">
        <v>1.8</v>
      </c>
      <c r="BN65" s="4">
        <v>3</v>
      </c>
      <c r="BO65" s="4">
        <v>1.4</v>
      </c>
      <c r="BP65" s="56">
        <v>1.9</v>
      </c>
      <c r="BQ65" s="66">
        <v>0.6</v>
      </c>
    </row>
    <row r="66" spans="1:69" s="7" customFormat="1" x14ac:dyDescent="0.15">
      <c r="A66" s="16" t="s">
        <v>16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23">
        <v>3.3</v>
      </c>
      <c r="AP66" s="23">
        <v>3.7</v>
      </c>
      <c r="AQ66" s="4">
        <v>2.7</v>
      </c>
      <c r="AR66" s="23">
        <v>2.8</v>
      </c>
      <c r="AS66" s="23">
        <v>2.5</v>
      </c>
      <c r="AT66" s="23">
        <v>2.9</v>
      </c>
      <c r="AU66" s="23">
        <v>2.8</v>
      </c>
      <c r="AV66" s="23">
        <v>2.6</v>
      </c>
      <c r="AW66" s="23">
        <v>2.4</v>
      </c>
      <c r="AX66" s="4">
        <v>2.6</v>
      </c>
      <c r="AY66" s="4">
        <v>1.8</v>
      </c>
      <c r="AZ66" s="4">
        <v>1.8</v>
      </c>
      <c r="BA66" s="4">
        <v>1.8</v>
      </c>
      <c r="BB66" s="4">
        <v>2.5</v>
      </c>
      <c r="BC66" s="4">
        <v>2.4</v>
      </c>
      <c r="BD66" s="4">
        <v>2</v>
      </c>
      <c r="BE66" s="4">
        <v>2.7</v>
      </c>
      <c r="BF66" s="4">
        <v>3.3</v>
      </c>
      <c r="BG66" s="23">
        <v>2.6</v>
      </c>
      <c r="BH66" s="23">
        <v>2.7</v>
      </c>
      <c r="BI66" s="23">
        <v>2.6</v>
      </c>
      <c r="BJ66" s="23">
        <v>2.6</v>
      </c>
      <c r="BK66" s="4">
        <v>2.2000000000000002</v>
      </c>
      <c r="BL66" s="23">
        <v>2.2999999999999998</v>
      </c>
      <c r="BM66" s="4">
        <v>2.7</v>
      </c>
      <c r="BN66" s="4">
        <v>2.2999999999999998</v>
      </c>
      <c r="BO66" s="4">
        <v>2.5</v>
      </c>
      <c r="BP66" s="56">
        <v>1.8</v>
      </c>
      <c r="BQ66" s="66">
        <v>1.3</v>
      </c>
    </row>
    <row r="67" spans="1:69" s="7" customFormat="1" x14ac:dyDescent="0.15">
      <c r="A67" s="16" t="s">
        <v>17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23">
        <v>3.5</v>
      </c>
      <c r="AP67" s="23">
        <v>3.4</v>
      </c>
      <c r="AQ67" s="4">
        <v>2.2999999999999998</v>
      </c>
      <c r="AR67" s="23">
        <v>3</v>
      </c>
      <c r="AS67" s="23">
        <v>2.7</v>
      </c>
      <c r="AT67" s="23">
        <v>2.2999999999999998</v>
      </c>
      <c r="AU67" s="23">
        <v>2.2000000000000002</v>
      </c>
      <c r="AV67" s="23">
        <v>2.2000000000000002</v>
      </c>
      <c r="AW67" s="23">
        <v>2</v>
      </c>
      <c r="AX67" s="4">
        <v>2.2999999999999998</v>
      </c>
      <c r="AY67" s="4">
        <v>1.7</v>
      </c>
      <c r="AZ67" s="4">
        <v>2</v>
      </c>
      <c r="BA67" s="4">
        <v>2.2000000000000002</v>
      </c>
      <c r="BB67" s="4">
        <v>1.5</v>
      </c>
      <c r="BC67" s="4">
        <v>2</v>
      </c>
      <c r="BD67" s="4">
        <v>2.2000000000000002</v>
      </c>
      <c r="BE67" s="4">
        <v>1.6</v>
      </c>
      <c r="BF67" s="4">
        <v>2.2000000000000002</v>
      </c>
      <c r="BG67" s="23">
        <v>2</v>
      </c>
      <c r="BH67" s="23">
        <v>1.5</v>
      </c>
      <c r="BI67" s="23">
        <v>2</v>
      </c>
      <c r="BJ67" s="23">
        <v>1.7</v>
      </c>
      <c r="BK67" s="4">
        <v>2.2000000000000002</v>
      </c>
      <c r="BL67" s="23">
        <v>2</v>
      </c>
      <c r="BM67" s="4">
        <v>2.4</v>
      </c>
      <c r="BN67" s="4">
        <v>2.2999999999999998</v>
      </c>
      <c r="BO67" s="4">
        <v>1.7</v>
      </c>
      <c r="BP67" s="56">
        <v>2</v>
      </c>
      <c r="BQ67" s="66">
        <v>2.1</v>
      </c>
    </row>
    <row r="68" spans="1:69" s="7" customFormat="1" x14ac:dyDescent="0.15">
      <c r="A68" s="16" t="s">
        <v>18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23">
        <v>5.4</v>
      </c>
      <c r="AP68" s="23">
        <v>5.8</v>
      </c>
      <c r="AQ68" s="4">
        <v>6.1</v>
      </c>
      <c r="AR68" s="23">
        <v>6.5</v>
      </c>
      <c r="AS68" s="23">
        <v>7.2</v>
      </c>
      <c r="AT68" s="23">
        <v>6.9</v>
      </c>
      <c r="AU68" s="23">
        <v>5.4</v>
      </c>
      <c r="AV68" s="23">
        <v>4.7</v>
      </c>
      <c r="AW68" s="23">
        <v>5.4</v>
      </c>
      <c r="AX68" s="4">
        <v>5.6</v>
      </c>
      <c r="AY68" s="4">
        <v>4.5999999999999996</v>
      </c>
      <c r="AZ68" s="4">
        <v>4.0999999999999996</v>
      </c>
      <c r="BA68" s="4">
        <v>4.7</v>
      </c>
      <c r="BB68" s="4">
        <v>4.5999999999999996</v>
      </c>
      <c r="BC68" s="4">
        <v>3.8</v>
      </c>
      <c r="BD68" s="4">
        <v>4.0999999999999996</v>
      </c>
      <c r="BE68" s="4">
        <v>3.4</v>
      </c>
      <c r="BF68" s="4">
        <v>3.4</v>
      </c>
      <c r="BG68" s="23">
        <v>3.5</v>
      </c>
      <c r="BH68" s="23">
        <v>4.8</v>
      </c>
      <c r="BI68" s="23">
        <v>4.5</v>
      </c>
      <c r="BJ68" s="23">
        <v>3.5</v>
      </c>
      <c r="BK68" s="4">
        <v>4.2</v>
      </c>
      <c r="BL68" s="23">
        <v>4.5999999999999996</v>
      </c>
      <c r="BM68" s="4">
        <v>3.8</v>
      </c>
      <c r="BN68" s="4">
        <v>3.6</v>
      </c>
      <c r="BO68" s="4">
        <v>3.4</v>
      </c>
      <c r="BP68" s="56">
        <v>3.2</v>
      </c>
      <c r="BQ68" s="66">
        <v>1.8</v>
      </c>
    </row>
    <row r="69" spans="1:69" s="7" customFormat="1" x14ac:dyDescent="0.15">
      <c r="A69" s="16" t="s">
        <v>19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45"/>
      <c r="AR69" s="45"/>
      <c r="AS69" s="45"/>
      <c r="AT69" s="45"/>
      <c r="AU69" s="37"/>
      <c r="AV69" s="37"/>
      <c r="AW69" s="37"/>
      <c r="AX69" s="37"/>
      <c r="AY69" s="37"/>
      <c r="AZ69" s="37"/>
      <c r="BA69" s="4">
        <v>2.5</v>
      </c>
      <c r="BB69" s="4">
        <v>1.4</v>
      </c>
      <c r="BC69" s="4">
        <v>2</v>
      </c>
      <c r="BD69" s="4">
        <v>1.8</v>
      </c>
      <c r="BE69" s="4">
        <v>1.8</v>
      </c>
      <c r="BF69" s="4">
        <v>2</v>
      </c>
      <c r="BG69" s="23">
        <v>1.9</v>
      </c>
      <c r="BH69" s="23">
        <v>2.6</v>
      </c>
      <c r="BI69" s="23">
        <v>1.8</v>
      </c>
      <c r="BJ69" s="23">
        <v>2.8</v>
      </c>
      <c r="BK69" s="4">
        <v>2</v>
      </c>
      <c r="BL69" s="23">
        <v>3.6</v>
      </c>
      <c r="BM69" s="4">
        <v>1.9</v>
      </c>
      <c r="BN69" s="4">
        <v>2.5</v>
      </c>
      <c r="BO69" s="4">
        <v>1.4</v>
      </c>
      <c r="BP69" s="56">
        <v>1.5</v>
      </c>
      <c r="BQ69" s="66">
        <v>2.1</v>
      </c>
    </row>
    <row r="70" spans="1:69" s="7" customFormat="1" x14ac:dyDescent="0.15">
      <c r="A70" s="16" t="s">
        <v>20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23">
        <v>3.4</v>
      </c>
      <c r="AP70" s="23">
        <v>3.9</v>
      </c>
      <c r="AQ70" s="4">
        <v>3.5</v>
      </c>
      <c r="AR70" s="23">
        <v>3.8</v>
      </c>
      <c r="AS70" s="23">
        <v>3.5</v>
      </c>
      <c r="AT70" s="23">
        <v>3.1</v>
      </c>
      <c r="AU70" s="23">
        <v>2.5</v>
      </c>
      <c r="AV70" s="23">
        <v>3.3</v>
      </c>
      <c r="AW70" s="23">
        <v>1.7</v>
      </c>
      <c r="AX70" s="4">
        <v>2.4</v>
      </c>
      <c r="AY70" s="4">
        <v>1.6</v>
      </c>
      <c r="AZ70" s="4">
        <v>1.5</v>
      </c>
      <c r="BA70" s="4">
        <v>2.4</v>
      </c>
      <c r="BB70" s="4">
        <v>2.2999999999999998</v>
      </c>
      <c r="BC70" s="4">
        <v>2.5</v>
      </c>
      <c r="BD70" s="4">
        <v>1.8</v>
      </c>
      <c r="BE70" s="4">
        <v>1.9</v>
      </c>
      <c r="BF70" s="4">
        <v>2.2999999999999998</v>
      </c>
      <c r="BG70" s="23">
        <v>1.5</v>
      </c>
      <c r="BH70" s="23">
        <v>1.7</v>
      </c>
      <c r="BI70" s="23">
        <v>1.9</v>
      </c>
      <c r="BJ70" s="23">
        <v>1.7</v>
      </c>
      <c r="BK70" s="4">
        <v>1.6</v>
      </c>
      <c r="BL70" s="23">
        <v>3.7</v>
      </c>
      <c r="BM70" s="4">
        <v>2</v>
      </c>
      <c r="BN70" s="4">
        <v>2.4</v>
      </c>
      <c r="BO70" s="4">
        <v>2</v>
      </c>
      <c r="BP70" s="56">
        <v>2.6</v>
      </c>
      <c r="BQ70" s="66">
        <v>1.7</v>
      </c>
    </row>
    <row r="71" spans="1:69" s="7" customFormat="1" x14ac:dyDescent="0.15">
      <c r="A71" s="16" t="s">
        <v>21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45"/>
      <c r="AR71" s="45"/>
      <c r="AS71" s="45"/>
      <c r="AT71" s="45"/>
      <c r="AU71" s="37"/>
      <c r="AV71" s="37"/>
      <c r="AW71" s="37"/>
      <c r="AX71" s="37"/>
      <c r="AY71" s="37"/>
      <c r="AZ71" s="37"/>
      <c r="BA71" s="44"/>
      <c r="BB71" s="37"/>
      <c r="BC71" s="37"/>
      <c r="BD71" s="4">
        <v>1</v>
      </c>
      <c r="BE71" s="4">
        <v>1.4</v>
      </c>
      <c r="BF71" s="4">
        <v>0.8</v>
      </c>
      <c r="BG71" s="23">
        <v>1</v>
      </c>
      <c r="BH71" s="23">
        <v>1.1000000000000001</v>
      </c>
      <c r="BI71" s="23">
        <v>1.8</v>
      </c>
      <c r="BJ71" s="23">
        <v>1.1000000000000001</v>
      </c>
      <c r="BK71" s="4">
        <v>1.7</v>
      </c>
      <c r="BL71" s="23">
        <v>1.7</v>
      </c>
      <c r="BM71" s="4">
        <v>1</v>
      </c>
      <c r="BN71" s="4">
        <v>1.4</v>
      </c>
      <c r="BO71" s="4">
        <v>1.4</v>
      </c>
      <c r="BP71" s="56">
        <v>1.5</v>
      </c>
      <c r="BQ71" s="66">
        <v>1.5</v>
      </c>
    </row>
    <row r="72" spans="1:69" s="7" customFormat="1" x14ac:dyDescent="0.15">
      <c r="A72" s="16" t="s">
        <v>22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23">
        <v>2</v>
      </c>
      <c r="AP72" s="23">
        <v>1.6</v>
      </c>
      <c r="AQ72" s="4">
        <v>1.8</v>
      </c>
      <c r="AR72" s="23">
        <v>1</v>
      </c>
      <c r="AS72" s="23">
        <v>1.8</v>
      </c>
      <c r="AT72" s="23">
        <v>1.3</v>
      </c>
      <c r="AU72" s="23">
        <v>1.5</v>
      </c>
      <c r="AV72" s="23">
        <v>1</v>
      </c>
      <c r="AW72" s="23">
        <v>1.1000000000000001</v>
      </c>
      <c r="AX72" s="4">
        <v>0.9</v>
      </c>
      <c r="AY72" s="4">
        <v>1.2</v>
      </c>
      <c r="AZ72" s="4">
        <v>2.6</v>
      </c>
      <c r="BA72" s="4">
        <v>2.1</v>
      </c>
      <c r="BB72" s="4">
        <v>1.5</v>
      </c>
      <c r="BC72" s="4">
        <v>1.8</v>
      </c>
      <c r="BD72" s="4">
        <v>1.8</v>
      </c>
      <c r="BE72" s="4">
        <v>2</v>
      </c>
      <c r="BF72" s="4">
        <v>1.2</v>
      </c>
      <c r="BG72" s="23">
        <v>2.1</v>
      </c>
      <c r="BH72" s="23">
        <v>1.4</v>
      </c>
      <c r="BI72" s="23">
        <v>1.5</v>
      </c>
      <c r="BJ72" s="23">
        <v>1.8</v>
      </c>
      <c r="BK72" s="4">
        <v>0.9</v>
      </c>
      <c r="BL72" s="23">
        <v>1.3</v>
      </c>
      <c r="BM72" s="4">
        <v>1.5</v>
      </c>
      <c r="BN72" s="4">
        <v>0.9</v>
      </c>
      <c r="BO72" s="4">
        <v>1.4</v>
      </c>
      <c r="BP72" s="56">
        <v>1.2</v>
      </c>
      <c r="BQ72" s="66">
        <v>1.6</v>
      </c>
    </row>
    <row r="73" spans="1:69" s="7" customFormat="1" x14ac:dyDescent="0.15">
      <c r="A73" s="16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23">
        <v>2.5</v>
      </c>
      <c r="AP73" s="23">
        <v>2.8</v>
      </c>
      <c r="AQ73" s="4">
        <v>3.4</v>
      </c>
      <c r="AR73" s="23">
        <v>3.4</v>
      </c>
      <c r="AS73" s="23">
        <v>2</v>
      </c>
      <c r="AT73" s="23">
        <v>3.4</v>
      </c>
      <c r="AU73" s="23">
        <v>3.2</v>
      </c>
      <c r="AV73" s="23">
        <v>1.6</v>
      </c>
      <c r="AW73" s="23">
        <v>1.9</v>
      </c>
      <c r="AX73" s="4">
        <v>2.9</v>
      </c>
      <c r="AY73" s="4">
        <v>1.9</v>
      </c>
      <c r="AZ73" s="4">
        <v>1.4</v>
      </c>
      <c r="BA73" s="4">
        <v>1.4</v>
      </c>
      <c r="BB73" s="4">
        <v>1.4</v>
      </c>
      <c r="BC73" s="4">
        <v>2.2000000000000002</v>
      </c>
      <c r="BD73" s="4">
        <v>1.5</v>
      </c>
      <c r="BE73" s="4">
        <v>1.9</v>
      </c>
      <c r="BF73" s="4">
        <v>1.8</v>
      </c>
      <c r="BG73" s="23">
        <v>1.4</v>
      </c>
      <c r="BH73" s="23">
        <v>1.4</v>
      </c>
      <c r="BI73" s="23">
        <v>2.2999999999999998</v>
      </c>
      <c r="BJ73" s="23">
        <v>2.2999999999999998</v>
      </c>
      <c r="BK73" s="4">
        <v>1.6</v>
      </c>
      <c r="BL73" s="23">
        <v>2.6</v>
      </c>
      <c r="BM73" s="4">
        <v>2</v>
      </c>
      <c r="BN73" s="4">
        <v>2.2000000000000002</v>
      </c>
      <c r="BO73" s="4">
        <v>2.1</v>
      </c>
      <c r="BP73" s="56">
        <v>2.5</v>
      </c>
      <c r="BQ73" s="66">
        <v>1.5</v>
      </c>
    </row>
    <row r="74" spans="1:69" s="7" customFormat="1" x14ac:dyDescent="0.15">
      <c r="A74" s="16" t="s">
        <v>24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23">
        <v>1.9</v>
      </c>
      <c r="AP74" s="23">
        <v>1.7</v>
      </c>
      <c r="AQ74" s="4">
        <v>1.8</v>
      </c>
      <c r="AR74" s="23">
        <v>1.9</v>
      </c>
      <c r="AS74" s="23">
        <v>1.4</v>
      </c>
      <c r="AT74" s="23">
        <v>1.3</v>
      </c>
      <c r="AU74" s="23">
        <v>1.7</v>
      </c>
      <c r="AV74" s="23">
        <v>1.3</v>
      </c>
      <c r="AW74" s="23">
        <v>1.3</v>
      </c>
      <c r="AX74" s="4">
        <v>1.5</v>
      </c>
      <c r="AY74" s="4">
        <v>1</v>
      </c>
      <c r="AZ74" s="4">
        <v>1.4</v>
      </c>
      <c r="BA74" s="4">
        <v>1.4</v>
      </c>
      <c r="BB74" s="4">
        <v>1.1000000000000001</v>
      </c>
      <c r="BC74" s="4">
        <v>1.3</v>
      </c>
      <c r="BD74" s="4">
        <v>1.2</v>
      </c>
      <c r="BE74" s="4">
        <v>1.2</v>
      </c>
      <c r="BF74" s="4">
        <v>1.2</v>
      </c>
      <c r="BG74" s="23">
        <v>1.5</v>
      </c>
      <c r="BH74" s="23">
        <v>1.2</v>
      </c>
      <c r="BI74" s="23">
        <v>0.6</v>
      </c>
      <c r="BJ74" s="23">
        <v>1.2</v>
      </c>
      <c r="BK74" s="4">
        <v>0.8</v>
      </c>
      <c r="BL74" s="23">
        <v>0.8</v>
      </c>
      <c r="BM74" s="4">
        <v>1.5</v>
      </c>
      <c r="BN74" s="4">
        <v>1</v>
      </c>
      <c r="BO74" s="4">
        <v>1.5</v>
      </c>
      <c r="BP74" s="56">
        <v>1.5</v>
      </c>
      <c r="BQ74" s="66">
        <v>1.2</v>
      </c>
    </row>
    <row r="75" spans="1:69" s="7" customFormat="1" x14ac:dyDescent="0.15">
      <c r="A75" s="16" t="s">
        <v>74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5"/>
      <c r="AQ75" s="45"/>
      <c r="AR75" s="45"/>
      <c r="AS75" s="45"/>
      <c r="AT75" s="45"/>
      <c r="AU75" s="37"/>
      <c r="AV75" s="37"/>
      <c r="AW75" s="37"/>
      <c r="AX75" s="37"/>
      <c r="AY75" s="37"/>
      <c r="AZ75" s="37"/>
      <c r="BA75" s="38"/>
      <c r="BB75" s="37"/>
      <c r="BC75" s="37"/>
      <c r="BD75" s="39"/>
      <c r="BE75" s="39"/>
      <c r="BF75" s="40"/>
      <c r="BG75" s="23">
        <v>2.6</v>
      </c>
      <c r="BH75" s="23">
        <v>1.6</v>
      </c>
      <c r="BI75" s="23">
        <v>1.5</v>
      </c>
      <c r="BJ75" s="23">
        <v>2.7</v>
      </c>
      <c r="BK75" s="4">
        <v>1.6</v>
      </c>
      <c r="BL75" s="23">
        <v>1.8</v>
      </c>
      <c r="BM75" s="4">
        <v>1.6</v>
      </c>
      <c r="BN75" s="4">
        <v>1.5</v>
      </c>
      <c r="BO75" s="4">
        <v>2.2999999999999998</v>
      </c>
      <c r="BP75" s="56">
        <v>0.8</v>
      </c>
      <c r="BQ75" s="66">
        <v>1.6</v>
      </c>
    </row>
    <row r="76" spans="1:69" s="7" customFormat="1" x14ac:dyDescent="0.15">
      <c r="A76" s="16" t="s">
        <v>4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23">
        <v>3.2</v>
      </c>
      <c r="AP76" s="23">
        <v>3.6</v>
      </c>
      <c r="AQ76" s="4">
        <v>3.1</v>
      </c>
      <c r="AR76" s="23">
        <v>3.3</v>
      </c>
      <c r="AS76" s="23">
        <v>3.1</v>
      </c>
      <c r="AT76" s="23">
        <v>3.2</v>
      </c>
      <c r="AU76" s="23">
        <v>3</v>
      </c>
      <c r="AV76" s="23">
        <v>2.8</v>
      </c>
      <c r="AW76" s="23">
        <v>2.7</v>
      </c>
      <c r="AX76" s="4">
        <v>2.4</v>
      </c>
      <c r="AY76" s="4">
        <v>2.6</v>
      </c>
      <c r="AZ76" s="4">
        <v>2.5</v>
      </c>
      <c r="BA76" s="4">
        <v>2.2999999999999998</v>
      </c>
      <c r="BB76" s="4">
        <v>2.2999999999999998</v>
      </c>
      <c r="BC76" s="4">
        <v>2.2999999999999998</v>
      </c>
      <c r="BD76" s="4">
        <v>2.1</v>
      </c>
      <c r="BE76" s="4">
        <v>2.1</v>
      </c>
      <c r="BF76" s="4">
        <v>1.9</v>
      </c>
      <c r="BG76" s="23">
        <v>1.9</v>
      </c>
      <c r="BH76" s="23">
        <v>1.9</v>
      </c>
      <c r="BI76" s="23">
        <v>1.7</v>
      </c>
      <c r="BJ76" s="23">
        <v>1.6</v>
      </c>
      <c r="BK76" s="4">
        <v>1.5</v>
      </c>
      <c r="BL76" s="23">
        <v>1.8</v>
      </c>
      <c r="BM76" s="4">
        <v>1.7</v>
      </c>
      <c r="BN76" s="4">
        <v>1.5</v>
      </c>
      <c r="BO76" s="4">
        <v>1.5</v>
      </c>
      <c r="BP76" s="57">
        <v>1.5</v>
      </c>
      <c r="BQ76" s="70">
        <v>1.3</v>
      </c>
    </row>
    <row r="77" spans="1:69" s="7" customFormat="1" x14ac:dyDescent="0.15">
      <c r="A77" s="31" t="s">
        <v>77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51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4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49"/>
      <c r="BA77" s="49"/>
      <c r="BB77" s="39"/>
      <c r="BC77" s="40"/>
      <c r="BD77" s="40"/>
      <c r="BE77" s="39"/>
      <c r="BF77" s="54"/>
      <c r="BG77" s="54"/>
      <c r="BH77" s="54"/>
      <c r="BI77" s="39"/>
      <c r="BJ77" s="39"/>
      <c r="BK77" s="39"/>
      <c r="BL77" s="39"/>
      <c r="BM77" s="39"/>
      <c r="BN77" s="48"/>
      <c r="BO77" s="42"/>
    </row>
    <row r="78" spans="1:69" s="7" customFormat="1" x14ac:dyDescent="0.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51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39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50"/>
      <c r="BA78" s="47"/>
      <c r="BB78" s="39"/>
      <c r="BC78" s="40"/>
      <c r="BD78" s="40"/>
      <c r="BE78" s="40"/>
      <c r="BF78" s="40"/>
      <c r="BG78" s="39"/>
      <c r="BH78" s="39"/>
      <c r="BI78" s="39"/>
      <c r="BJ78" s="39"/>
      <c r="BK78" s="48"/>
      <c r="BL78" s="39"/>
      <c r="BM78" s="39"/>
      <c r="BN78" s="39"/>
      <c r="BO78" s="39"/>
    </row>
    <row r="79" spans="1:69" s="7" customFormat="1" x14ac:dyDescent="0.15">
      <c r="A79" s="13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51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39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49"/>
      <c r="BA79" s="49"/>
      <c r="BB79" s="39"/>
      <c r="BC79" s="40"/>
      <c r="BD79" s="40"/>
      <c r="BE79" s="40"/>
      <c r="BF79" s="40"/>
      <c r="BG79" s="39"/>
      <c r="BH79" s="39"/>
      <c r="BI79" s="39"/>
      <c r="BJ79" s="39"/>
      <c r="BK79" s="48"/>
      <c r="BL79" s="39"/>
      <c r="BM79" s="39"/>
      <c r="BN79" s="39"/>
      <c r="BO79" s="39"/>
    </row>
    <row r="80" spans="1:69" s="7" customFormat="1" x14ac:dyDescent="0.15">
      <c r="A80" s="13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51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39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47"/>
      <c r="BA80" s="47"/>
      <c r="BB80" s="39"/>
      <c r="BC80" s="40"/>
      <c r="BD80" s="40"/>
      <c r="BE80" s="40"/>
      <c r="BF80" s="40"/>
      <c r="BG80" s="39"/>
      <c r="BH80" s="39"/>
      <c r="BI80" s="39"/>
      <c r="BJ80" s="39"/>
      <c r="BK80" s="48"/>
      <c r="BL80" s="39"/>
      <c r="BM80" s="39"/>
      <c r="BN80" s="39"/>
      <c r="BO80" s="39"/>
    </row>
    <row r="81" spans="1:69" s="7" customFormat="1" x14ac:dyDescent="0.15">
      <c r="A81" s="13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51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49"/>
      <c r="BA81" s="49"/>
      <c r="BB81" s="39"/>
      <c r="BC81" s="40"/>
      <c r="BD81" s="40"/>
      <c r="BE81" s="40"/>
      <c r="BF81" s="40"/>
      <c r="BG81" s="39"/>
      <c r="BH81" s="39"/>
      <c r="BI81" s="39"/>
      <c r="BJ81" s="39"/>
      <c r="BK81" s="48"/>
      <c r="BL81" s="39"/>
      <c r="BM81" s="39"/>
      <c r="BN81" s="39"/>
      <c r="BO81" s="39"/>
    </row>
    <row r="82" spans="1:69" s="7" customFormat="1" x14ac:dyDescent="0.15">
      <c r="A82" s="13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51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47"/>
      <c r="BA82" s="47"/>
      <c r="BB82" s="39"/>
      <c r="BC82" s="40"/>
      <c r="BD82" s="40"/>
      <c r="BE82" s="40"/>
      <c r="BF82" s="40"/>
      <c r="BG82" s="39"/>
      <c r="BH82" s="39"/>
      <c r="BI82" s="39"/>
      <c r="BJ82" s="39"/>
      <c r="BK82" s="48"/>
      <c r="BL82" s="39"/>
      <c r="BM82" s="39"/>
      <c r="BN82" s="39"/>
      <c r="BO82" s="39"/>
    </row>
    <row r="83" spans="1:69" s="7" customFormat="1" x14ac:dyDescent="0.15">
      <c r="A83" s="13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51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49"/>
      <c r="BA83" s="49"/>
      <c r="BB83" s="39"/>
      <c r="BC83" s="40"/>
      <c r="BD83" s="40"/>
      <c r="BE83" s="40"/>
      <c r="BF83" s="40"/>
      <c r="BG83" s="39"/>
      <c r="BH83" s="39"/>
      <c r="BI83" s="39"/>
      <c r="BJ83" s="39"/>
      <c r="BK83" s="48"/>
      <c r="BL83" s="39"/>
      <c r="BM83" s="39"/>
      <c r="BN83" s="39"/>
      <c r="BO83" s="39"/>
    </row>
    <row r="84" spans="1:69" s="7" customFormat="1" x14ac:dyDescent="0.15">
      <c r="A84" s="13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51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47"/>
      <c r="BA84" s="47"/>
      <c r="BB84" s="39"/>
      <c r="BC84" s="40"/>
      <c r="BD84" s="40"/>
      <c r="BE84" s="40"/>
      <c r="BF84" s="40"/>
      <c r="BG84" s="39"/>
      <c r="BH84" s="39"/>
      <c r="BI84" s="39"/>
      <c r="BJ84" s="39"/>
      <c r="BK84" s="48"/>
      <c r="BL84" s="39"/>
      <c r="BM84" s="39"/>
      <c r="BN84" s="39"/>
      <c r="BO84" s="39"/>
    </row>
    <row r="85" spans="1:69" s="7" customFormat="1" x14ac:dyDescent="0.15">
      <c r="A85" s="13"/>
      <c r="O85" s="1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39"/>
      <c r="AZ85" s="12"/>
      <c r="BA85" s="12"/>
      <c r="BC85" s="14"/>
      <c r="BD85" s="14"/>
      <c r="BE85" s="14"/>
      <c r="BF85" s="14"/>
      <c r="BK85" s="21"/>
    </row>
    <row r="86" spans="1:69" s="7" customFormat="1" x14ac:dyDescent="0.15">
      <c r="A86" s="13"/>
      <c r="O86" s="19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Z86" s="17"/>
      <c r="BA86" s="18"/>
      <c r="BC86" s="14"/>
      <c r="BD86" s="14"/>
      <c r="BE86" s="14"/>
      <c r="BF86" s="14"/>
      <c r="BK86" s="21"/>
    </row>
    <row r="87" spans="1:69" s="7" customFormat="1" x14ac:dyDescent="0.15">
      <c r="A87" s="13"/>
      <c r="O87" s="19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Z87" s="12"/>
      <c r="BA87" s="12"/>
      <c r="BC87" s="14"/>
      <c r="BD87" s="14"/>
      <c r="BE87" s="14"/>
      <c r="BF87" s="14"/>
      <c r="BK87" s="21"/>
    </row>
    <row r="88" spans="1:69" s="7" customFormat="1" x14ac:dyDescent="0.15">
      <c r="A88" s="13"/>
      <c r="O88" s="19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Z88" s="12"/>
      <c r="BA88" s="20"/>
      <c r="BC88" s="14"/>
      <c r="BD88" s="14"/>
      <c r="BE88" s="14"/>
      <c r="BF88" s="14"/>
      <c r="BK88" s="21"/>
      <c r="BQ88" s="4"/>
    </row>
    <row r="89" spans="1:69" x14ac:dyDescent="0.15">
      <c r="AA89" s="7"/>
      <c r="BH89" s="7"/>
      <c r="BI89" s="7"/>
      <c r="BJ89" s="7"/>
      <c r="BK89" s="21"/>
      <c r="BN89" s="7"/>
      <c r="BO89" s="7"/>
    </row>
    <row r="90" spans="1:69" x14ac:dyDescent="0.15">
      <c r="BI90" s="7"/>
      <c r="BJ90" s="7"/>
      <c r="BK90" s="21"/>
      <c r="BN90" s="7"/>
      <c r="BO90" s="7"/>
    </row>
    <row r="91" spans="1:69" x14ac:dyDescent="0.15">
      <c r="BI91" s="7"/>
      <c r="BK91" s="21"/>
      <c r="BN91" s="7"/>
    </row>
    <row r="92" spans="1:69" x14ac:dyDescent="0.15">
      <c r="BK92" s="21"/>
    </row>
  </sheetData>
  <phoneticPr fontId="2"/>
  <pageMargins left="0.75" right="0.75" top="1" bottom="1" header="0.51200000000000001" footer="0.51200000000000001"/>
  <pageSetup paperSize="9" scale="71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2726C-2AC5-4A1B-8594-5DD930A62BCC}">
  <dimension ref="A1:G70"/>
  <sheetViews>
    <sheetView workbookViewId="0">
      <selection activeCell="A14" sqref="A14"/>
    </sheetView>
  </sheetViews>
  <sheetFormatPr defaultRowHeight="16.5" x14ac:dyDescent="0.15"/>
  <cols>
    <col min="1" max="16384" width="9" style="4"/>
  </cols>
  <sheetData>
    <row r="1" spans="1:7" x14ac:dyDescent="0.15">
      <c r="A1" s="4" t="s">
        <v>81</v>
      </c>
      <c r="B1" s="4" t="s">
        <v>82</v>
      </c>
    </row>
    <row r="2" spans="1:7" x14ac:dyDescent="0.15">
      <c r="A2" s="4" t="s">
        <v>83</v>
      </c>
    </row>
    <row r="3" spans="1:7" x14ac:dyDescent="0.15">
      <c r="A3" s="4" t="s">
        <v>84</v>
      </c>
    </row>
    <row r="4" spans="1:7" x14ac:dyDescent="0.15">
      <c r="A4" s="4" t="s">
        <v>85</v>
      </c>
    </row>
    <row r="5" spans="1:7" x14ac:dyDescent="0.15">
      <c r="A5" s="4" t="s">
        <v>86</v>
      </c>
    </row>
    <row r="6" spans="1:7" x14ac:dyDescent="0.15">
      <c r="A6" s="4" t="s">
        <v>87</v>
      </c>
    </row>
    <row r="7" spans="1:7" x14ac:dyDescent="0.15">
      <c r="A7" s="4" t="s">
        <v>88</v>
      </c>
    </row>
    <row r="8" spans="1:7" x14ac:dyDescent="0.15">
      <c r="A8" s="4" t="s">
        <v>89</v>
      </c>
    </row>
    <row r="9" spans="1:7" x14ac:dyDescent="0.15">
      <c r="A9" s="4" t="s">
        <v>90</v>
      </c>
    </row>
    <row r="10" spans="1:7" x14ac:dyDescent="0.15">
      <c r="A10" s="4" t="s">
        <v>91</v>
      </c>
    </row>
    <row r="11" spans="1:7" x14ac:dyDescent="0.15">
      <c r="A11" s="4" t="s">
        <v>92</v>
      </c>
    </row>
    <row r="12" spans="1:7" x14ac:dyDescent="0.15">
      <c r="A12" s="4" t="s">
        <v>93</v>
      </c>
    </row>
    <row r="13" spans="1:7" x14ac:dyDescent="0.15">
      <c r="A13" s="4" t="s">
        <v>94</v>
      </c>
    </row>
    <row r="16" spans="1:7" x14ac:dyDescent="0.15">
      <c r="A16" s="81" t="s">
        <v>95</v>
      </c>
      <c r="B16" s="87" t="s">
        <v>97</v>
      </c>
      <c r="C16" s="88"/>
      <c r="D16" s="88"/>
      <c r="E16" s="87" t="s">
        <v>98</v>
      </c>
      <c r="F16" s="88"/>
      <c r="G16" s="89"/>
    </row>
    <row r="17" spans="1:7" x14ac:dyDescent="0.15">
      <c r="A17" s="83"/>
      <c r="B17" s="84" t="s">
        <v>96</v>
      </c>
      <c r="C17" s="85" t="s">
        <v>99</v>
      </c>
      <c r="D17" s="85" t="s">
        <v>100</v>
      </c>
      <c r="E17" s="84" t="s">
        <v>96</v>
      </c>
      <c r="F17" s="85" t="s">
        <v>99</v>
      </c>
      <c r="G17" s="86" t="s">
        <v>100</v>
      </c>
    </row>
    <row r="18" spans="1:7" x14ac:dyDescent="0.15">
      <c r="A18" s="82">
        <v>1899</v>
      </c>
      <c r="B18" s="71">
        <v>67599</v>
      </c>
      <c r="C18" s="14">
        <v>33816</v>
      </c>
      <c r="D18" s="14">
        <v>33783</v>
      </c>
      <c r="E18" s="4">
        <v>155.69999999999999</v>
      </c>
      <c r="F18" s="4">
        <v>154.9</v>
      </c>
      <c r="G18" s="72">
        <v>156.6</v>
      </c>
    </row>
    <row r="19" spans="1:7" x14ac:dyDescent="0.15">
      <c r="A19" s="82">
        <v>1900</v>
      </c>
      <c r="B19" s="71">
        <v>71771</v>
      </c>
      <c r="C19" s="14">
        <v>35713</v>
      </c>
      <c r="D19" s="14">
        <v>36058</v>
      </c>
      <c r="E19" s="4">
        <v>163.69999999999999</v>
      </c>
      <c r="F19" s="73">
        <v>162</v>
      </c>
      <c r="G19" s="72">
        <v>165.4</v>
      </c>
    </row>
    <row r="20" spans="1:7" x14ac:dyDescent="0.15">
      <c r="A20" s="82">
        <v>1901</v>
      </c>
      <c r="B20" s="71">
        <v>76614</v>
      </c>
      <c r="C20" s="14">
        <v>37577</v>
      </c>
      <c r="D20" s="14">
        <v>39037</v>
      </c>
      <c r="E20" s="4">
        <v>172.7</v>
      </c>
      <c r="F20" s="4">
        <v>168.5</v>
      </c>
      <c r="G20" s="74">
        <v>177</v>
      </c>
    </row>
    <row r="21" spans="1:7" x14ac:dyDescent="0.15">
      <c r="A21" s="82">
        <v>1902</v>
      </c>
      <c r="B21" s="71">
        <v>82559</v>
      </c>
      <c r="C21" s="14">
        <v>39300</v>
      </c>
      <c r="D21" s="14">
        <v>43259</v>
      </c>
      <c r="E21" s="4">
        <v>183.6</v>
      </c>
      <c r="F21" s="4">
        <v>173.8</v>
      </c>
      <c r="G21" s="72">
        <v>193.5</v>
      </c>
    </row>
    <row r="22" spans="1:7" x14ac:dyDescent="0.15">
      <c r="A22" s="82">
        <v>1903</v>
      </c>
      <c r="B22" s="71">
        <v>85132</v>
      </c>
      <c r="C22" s="14">
        <v>40354</v>
      </c>
      <c r="D22" s="14">
        <v>44778</v>
      </c>
      <c r="E22" s="4">
        <v>186.9</v>
      </c>
      <c r="F22" s="4">
        <v>176.2</v>
      </c>
      <c r="G22" s="72">
        <v>197.7</v>
      </c>
    </row>
    <row r="23" spans="1:7" x14ac:dyDescent="0.15">
      <c r="A23" s="82">
        <v>1904</v>
      </c>
      <c r="B23" s="71">
        <v>87260</v>
      </c>
      <c r="C23" s="14">
        <v>41643</v>
      </c>
      <c r="D23" s="14">
        <v>45617</v>
      </c>
      <c r="E23" s="4">
        <v>189.1</v>
      </c>
      <c r="F23" s="4">
        <v>179.5</v>
      </c>
      <c r="G23" s="72">
        <v>198.9</v>
      </c>
    </row>
    <row r="24" spans="1:7" x14ac:dyDescent="0.15">
      <c r="A24" s="82">
        <v>1905</v>
      </c>
      <c r="B24" s="71">
        <v>96030</v>
      </c>
      <c r="C24" s="14">
        <v>45167</v>
      </c>
      <c r="D24" s="14">
        <v>50863</v>
      </c>
      <c r="E24" s="73">
        <v>206</v>
      </c>
      <c r="F24" s="4">
        <v>192.8</v>
      </c>
      <c r="G24" s="72">
        <v>219.2</v>
      </c>
    </row>
    <row r="25" spans="1:7" x14ac:dyDescent="0.15">
      <c r="A25" s="82">
        <v>1906</v>
      </c>
      <c r="B25" s="71">
        <v>96069</v>
      </c>
      <c r="C25" s="14">
        <v>44737</v>
      </c>
      <c r="D25" s="14">
        <v>51332</v>
      </c>
      <c r="E25" s="4">
        <v>204.2</v>
      </c>
      <c r="F25" s="4">
        <v>189.6</v>
      </c>
      <c r="G25" s="74">
        <v>219</v>
      </c>
    </row>
    <row r="26" spans="1:7" x14ac:dyDescent="0.15">
      <c r="A26" s="82">
        <v>1907</v>
      </c>
      <c r="B26" s="71">
        <v>96584</v>
      </c>
      <c r="C26" s="14">
        <v>45152</v>
      </c>
      <c r="D26" s="14">
        <v>51432</v>
      </c>
      <c r="E26" s="4">
        <v>203.7</v>
      </c>
      <c r="F26" s="4">
        <v>189.8</v>
      </c>
      <c r="G26" s="72">
        <v>217.7</v>
      </c>
    </row>
    <row r="27" spans="1:7" x14ac:dyDescent="0.15">
      <c r="A27" s="82">
        <v>1908</v>
      </c>
      <c r="B27" s="71">
        <v>98871</v>
      </c>
      <c r="C27" s="14">
        <v>46116</v>
      </c>
      <c r="D27" s="14">
        <v>52755</v>
      </c>
      <c r="E27" s="4">
        <v>206.1</v>
      </c>
      <c r="F27" s="4">
        <v>191.8</v>
      </c>
      <c r="G27" s="72">
        <v>220.5</v>
      </c>
    </row>
    <row r="28" spans="1:7" x14ac:dyDescent="0.15">
      <c r="A28" s="82">
        <v>1909</v>
      </c>
      <c r="B28" s="71">
        <v>113622</v>
      </c>
      <c r="C28" s="14">
        <v>53098</v>
      </c>
      <c r="D28" s="14">
        <v>60524</v>
      </c>
      <c r="E28" s="73">
        <v>234</v>
      </c>
      <c r="F28" s="4">
        <v>218.3</v>
      </c>
      <c r="G28" s="72">
        <v>249.8</v>
      </c>
    </row>
    <row r="29" spans="1:7" x14ac:dyDescent="0.15">
      <c r="A29" s="82">
        <v>1910</v>
      </c>
      <c r="B29" s="71">
        <v>113203</v>
      </c>
      <c r="C29" s="14">
        <v>52774</v>
      </c>
      <c r="D29" s="14">
        <v>60429</v>
      </c>
      <c r="E29" s="4">
        <v>230.2</v>
      </c>
      <c r="F29" s="4">
        <v>214.1</v>
      </c>
      <c r="G29" s="72">
        <v>246.3</v>
      </c>
    </row>
    <row r="30" spans="1:7" x14ac:dyDescent="0.15">
      <c r="A30" s="82">
        <v>1911</v>
      </c>
      <c r="B30" s="71">
        <v>110722</v>
      </c>
      <c r="C30" s="14">
        <v>51663</v>
      </c>
      <c r="D30" s="14">
        <v>59059</v>
      </c>
      <c r="E30" s="4">
        <v>222.1</v>
      </c>
      <c r="F30" s="4">
        <v>206.7</v>
      </c>
      <c r="G30" s="72">
        <v>237.6</v>
      </c>
    </row>
    <row r="31" spans="1:7" x14ac:dyDescent="0.15">
      <c r="A31" s="82">
        <v>1912</v>
      </c>
      <c r="B31" s="71">
        <v>114197</v>
      </c>
      <c r="C31" s="14">
        <v>53663</v>
      </c>
      <c r="D31" s="14">
        <v>60534</v>
      </c>
      <c r="E31" s="4">
        <v>225.8</v>
      </c>
      <c r="F31" s="4">
        <v>211.6</v>
      </c>
      <c r="G31" s="72">
        <v>240.1</v>
      </c>
    </row>
    <row r="32" spans="1:7" x14ac:dyDescent="0.15">
      <c r="A32" s="82">
        <v>1913</v>
      </c>
      <c r="B32" s="71">
        <v>110753</v>
      </c>
      <c r="C32" s="14">
        <v>52329</v>
      </c>
      <c r="D32" s="14">
        <v>58424</v>
      </c>
      <c r="E32" s="4">
        <v>215.9</v>
      </c>
      <c r="F32" s="4">
        <v>203.3</v>
      </c>
      <c r="G32" s="72">
        <v>228.5</v>
      </c>
    </row>
    <row r="33" spans="1:7" x14ac:dyDescent="0.15">
      <c r="A33" s="82">
        <v>1914</v>
      </c>
      <c r="B33" s="71">
        <v>113341</v>
      </c>
      <c r="C33" s="14">
        <v>53233</v>
      </c>
      <c r="D33" s="14">
        <v>60108</v>
      </c>
      <c r="E33" s="4">
        <v>217.8</v>
      </c>
      <c r="F33" s="4">
        <v>203.9</v>
      </c>
      <c r="G33" s="72">
        <v>231.8</v>
      </c>
    </row>
    <row r="34" spans="1:7" x14ac:dyDescent="0.15">
      <c r="A34" s="82">
        <v>1915</v>
      </c>
      <c r="B34" s="71">
        <v>115913</v>
      </c>
      <c r="C34" s="14">
        <v>54740</v>
      </c>
      <c r="D34" s="14">
        <v>61173</v>
      </c>
      <c r="E34" s="4">
        <v>219.7</v>
      </c>
      <c r="F34" s="4">
        <v>206.8</v>
      </c>
      <c r="G34" s="72">
        <v>232.7</v>
      </c>
    </row>
    <row r="35" spans="1:7" x14ac:dyDescent="0.15">
      <c r="A35" s="82">
        <v>1916</v>
      </c>
      <c r="B35" s="71">
        <v>121810</v>
      </c>
      <c r="C35" s="14">
        <v>56791</v>
      </c>
      <c r="D35" s="14">
        <v>65019</v>
      </c>
      <c r="E35" s="4">
        <v>227.7</v>
      </c>
      <c r="F35" s="4">
        <v>211.6</v>
      </c>
      <c r="G35" s="72">
        <v>243.9</v>
      </c>
    </row>
    <row r="36" spans="1:7" x14ac:dyDescent="0.15">
      <c r="A36" s="82">
        <v>1917</v>
      </c>
      <c r="B36" s="71">
        <v>124787</v>
      </c>
      <c r="C36" s="14">
        <v>57592</v>
      </c>
      <c r="D36" s="14">
        <v>67195</v>
      </c>
      <c r="E36" s="4">
        <v>230.5</v>
      </c>
      <c r="F36" s="4">
        <v>212.1</v>
      </c>
      <c r="G36" s="72">
        <v>249.1</v>
      </c>
    </row>
    <row r="37" spans="1:7" x14ac:dyDescent="0.15">
      <c r="A37" s="82">
        <v>1918</v>
      </c>
      <c r="B37" s="71">
        <v>140747</v>
      </c>
      <c r="C37" s="14">
        <v>64239</v>
      </c>
      <c r="D37" s="14">
        <v>76508</v>
      </c>
      <c r="E37" s="4">
        <v>257.10000000000002</v>
      </c>
      <c r="F37" s="73">
        <v>234</v>
      </c>
      <c r="G37" s="72">
        <v>280.39999999999998</v>
      </c>
    </row>
    <row r="38" spans="1:7" x14ac:dyDescent="0.15">
      <c r="A38" s="82">
        <v>1919</v>
      </c>
      <c r="B38" s="71">
        <v>132565</v>
      </c>
      <c r="C38" s="14">
        <v>61246</v>
      </c>
      <c r="D38" s="14">
        <v>71319</v>
      </c>
      <c r="E38" s="4">
        <v>240.9</v>
      </c>
      <c r="F38" s="4">
        <v>221.9</v>
      </c>
      <c r="G38" s="74">
        <v>260</v>
      </c>
    </row>
    <row r="39" spans="1:7" x14ac:dyDescent="0.15">
      <c r="A39" s="82">
        <v>1920</v>
      </c>
      <c r="B39" s="71">
        <v>125165</v>
      </c>
      <c r="C39" s="14">
        <v>58557</v>
      </c>
      <c r="D39" s="14">
        <v>66608</v>
      </c>
      <c r="E39" s="4">
        <v>223.7</v>
      </c>
      <c r="F39" s="4">
        <v>208.8</v>
      </c>
      <c r="G39" s="72">
        <v>238.6</v>
      </c>
    </row>
    <row r="40" spans="1:7" x14ac:dyDescent="0.15">
      <c r="A40" s="82">
        <v>1921</v>
      </c>
      <c r="B40" s="71">
        <v>120719</v>
      </c>
      <c r="C40" s="14">
        <v>57176</v>
      </c>
      <c r="D40" s="14">
        <v>63543</v>
      </c>
      <c r="E40" s="73">
        <v>213</v>
      </c>
      <c r="F40" s="4">
        <v>201.2</v>
      </c>
      <c r="G40" s="72">
        <v>224.9</v>
      </c>
    </row>
    <row r="41" spans="1:7" x14ac:dyDescent="0.15">
      <c r="A41" s="82">
        <v>1922</v>
      </c>
      <c r="B41" s="71">
        <v>125506</v>
      </c>
      <c r="C41" s="14">
        <v>59096</v>
      </c>
      <c r="D41" s="14">
        <v>66410</v>
      </c>
      <c r="E41" s="4">
        <v>218.7</v>
      </c>
      <c r="F41" s="4">
        <v>205.2</v>
      </c>
      <c r="G41" s="72">
        <v>232.3</v>
      </c>
    </row>
    <row r="42" spans="1:7" x14ac:dyDescent="0.15">
      <c r="A42" s="82">
        <v>1923</v>
      </c>
      <c r="B42" s="71">
        <v>118216</v>
      </c>
      <c r="C42" s="14">
        <v>55497</v>
      </c>
      <c r="D42" s="14">
        <v>62719</v>
      </c>
      <c r="E42" s="4">
        <v>203.4</v>
      </c>
      <c r="F42" s="4">
        <v>190.2</v>
      </c>
      <c r="G42" s="72">
        <v>216.7</v>
      </c>
    </row>
    <row r="43" spans="1:7" x14ac:dyDescent="0.15">
      <c r="A43" s="82">
        <v>1924</v>
      </c>
      <c r="B43" s="71">
        <v>114229</v>
      </c>
      <c r="C43" s="14">
        <v>54429</v>
      </c>
      <c r="D43" s="14">
        <v>59800</v>
      </c>
      <c r="E43" s="73">
        <v>194</v>
      </c>
      <c r="F43" s="4">
        <v>184.1</v>
      </c>
      <c r="G43" s="74">
        <v>204</v>
      </c>
    </row>
    <row r="44" spans="1:7" x14ac:dyDescent="0.15">
      <c r="A44" s="82">
        <v>1925</v>
      </c>
      <c r="B44" s="71">
        <v>115956</v>
      </c>
      <c r="C44" s="14">
        <v>55546</v>
      </c>
      <c r="D44" s="14">
        <v>60410</v>
      </c>
      <c r="E44" s="4">
        <v>194.1</v>
      </c>
      <c r="F44" s="4">
        <v>185.1</v>
      </c>
      <c r="G44" s="72">
        <v>203.2</v>
      </c>
    </row>
    <row r="45" spans="1:7" x14ac:dyDescent="0.15">
      <c r="A45" s="82">
        <v>1926</v>
      </c>
      <c r="B45" s="71">
        <v>113045</v>
      </c>
      <c r="C45" s="14">
        <v>54503</v>
      </c>
      <c r="D45" s="14">
        <v>58542</v>
      </c>
      <c r="E45" s="4">
        <v>186.1</v>
      </c>
      <c r="F45" s="4">
        <v>178.6</v>
      </c>
      <c r="G45" s="72">
        <v>193.7</v>
      </c>
    </row>
    <row r="46" spans="1:7" x14ac:dyDescent="0.15">
      <c r="A46" s="82">
        <v>1927</v>
      </c>
      <c r="B46" s="71">
        <v>119439</v>
      </c>
      <c r="C46" s="14">
        <v>58316</v>
      </c>
      <c r="D46" s="14">
        <v>61123</v>
      </c>
      <c r="E46" s="4">
        <v>193.7</v>
      </c>
      <c r="F46" s="4">
        <v>188.2</v>
      </c>
      <c r="G46" s="72">
        <v>199.2</v>
      </c>
    </row>
    <row r="47" spans="1:7" x14ac:dyDescent="0.15">
      <c r="A47" s="82">
        <v>1928</v>
      </c>
      <c r="B47" s="71">
        <v>119632</v>
      </c>
      <c r="C47" s="14">
        <v>58397</v>
      </c>
      <c r="D47" s="14">
        <v>61235</v>
      </c>
      <c r="E47" s="4">
        <v>191.1</v>
      </c>
      <c r="F47" s="4">
        <v>185.7</v>
      </c>
      <c r="G47" s="72">
        <v>196.6</v>
      </c>
    </row>
    <row r="48" spans="1:7" x14ac:dyDescent="0.15">
      <c r="A48" s="82">
        <v>1929</v>
      </c>
      <c r="B48" s="71">
        <v>123490</v>
      </c>
      <c r="C48" s="14">
        <v>60168</v>
      </c>
      <c r="D48" s="14">
        <v>63322</v>
      </c>
      <c r="E48" s="4">
        <v>194.6</v>
      </c>
      <c r="F48" s="4">
        <v>188.7</v>
      </c>
      <c r="G48" s="72">
        <v>200.6</v>
      </c>
    </row>
    <row r="49" spans="1:7" x14ac:dyDescent="0.15">
      <c r="A49" s="82">
        <v>1930</v>
      </c>
      <c r="B49" s="71">
        <v>119635</v>
      </c>
      <c r="C49" s="14">
        <v>59148</v>
      </c>
      <c r="D49" s="14">
        <v>60487</v>
      </c>
      <c r="E49" s="4">
        <v>185.6</v>
      </c>
      <c r="F49" s="4">
        <v>182.6</v>
      </c>
      <c r="G49" s="72">
        <v>188.7</v>
      </c>
    </row>
    <row r="50" spans="1:7" x14ac:dyDescent="0.15">
      <c r="A50" s="82">
        <v>1931</v>
      </c>
      <c r="B50" s="71">
        <v>121875</v>
      </c>
      <c r="C50" s="14">
        <v>61197</v>
      </c>
      <c r="D50" s="14">
        <v>60678</v>
      </c>
      <c r="E50" s="4">
        <v>186.2</v>
      </c>
      <c r="F50" s="75">
        <v>186</v>
      </c>
      <c r="G50" s="72">
        <v>186.4</v>
      </c>
    </row>
    <row r="51" spans="1:7" x14ac:dyDescent="0.15">
      <c r="A51" s="82">
        <v>1932</v>
      </c>
      <c r="B51" s="71">
        <v>119196</v>
      </c>
      <c r="C51" s="14">
        <v>60751</v>
      </c>
      <c r="D51" s="14">
        <v>58445</v>
      </c>
      <c r="E51" s="4">
        <v>179.4</v>
      </c>
      <c r="F51" s="4">
        <v>182.1</v>
      </c>
      <c r="G51" s="72">
        <v>176.7</v>
      </c>
    </row>
    <row r="52" spans="1:7" x14ac:dyDescent="0.15">
      <c r="A52" s="82">
        <v>1933</v>
      </c>
      <c r="B52" s="71">
        <v>126703</v>
      </c>
      <c r="C52" s="14">
        <v>64603</v>
      </c>
      <c r="D52" s="14">
        <v>62100</v>
      </c>
      <c r="E52" s="4">
        <v>187.9</v>
      </c>
      <c r="F52" s="4">
        <v>190.9</v>
      </c>
      <c r="G52" s="72">
        <v>184.9</v>
      </c>
    </row>
    <row r="53" spans="1:7" x14ac:dyDescent="0.15">
      <c r="A53" s="82">
        <v>1934</v>
      </c>
      <c r="B53" s="71">
        <v>131525</v>
      </c>
      <c r="C53" s="14">
        <v>66823</v>
      </c>
      <c r="D53" s="14">
        <v>64701</v>
      </c>
      <c r="E53" s="4">
        <v>192.5</v>
      </c>
      <c r="F53" s="4">
        <v>194.9</v>
      </c>
      <c r="G53" s="72">
        <v>190.2</v>
      </c>
    </row>
    <row r="54" spans="1:7" x14ac:dyDescent="0.15">
      <c r="A54" s="82">
        <v>1935</v>
      </c>
      <c r="B54" s="71">
        <v>132151</v>
      </c>
      <c r="C54" s="14">
        <v>67238</v>
      </c>
      <c r="D54" s="14">
        <v>64913</v>
      </c>
      <c r="E54" s="4">
        <v>190.8</v>
      </c>
      <c r="F54" s="4">
        <v>193.6</v>
      </c>
      <c r="G54" s="74">
        <v>188</v>
      </c>
    </row>
    <row r="55" spans="1:7" x14ac:dyDescent="0.15">
      <c r="A55" s="82">
        <v>1936</v>
      </c>
      <c r="B55" s="71">
        <v>145160</v>
      </c>
      <c r="C55" s="14">
        <v>73495</v>
      </c>
      <c r="D55" s="14">
        <v>71665</v>
      </c>
      <c r="E55" s="73">
        <v>207</v>
      </c>
      <c r="F55" s="4">
        <v>209.4</v>
      </c>
      <c r="G55" s="72">
        <v>204.7</v>
      </c>
    </row>
    <row r="56" spans="1:7" x14ac:dyDescent="0.15">
      <c r="A56" s="82">
        <v>1937</v>
      </c>
      <c r="B56" s="71">
        <v>144620</v>
      </c>
      <c r="C56" s="14">
        <v>73040</v>
      </c>
      <c r="D56" s="14">
        <v>71580</v>
      </c>
      <c r="E56" s="4">
        <v>204.8</v>
      </c>
      <c r="F56" s="4">
        <v>207.9</v>
      </c>
      <c r="G56" s="72">
        <v>201.6</v>
      </c>
    </row>
    <row r="57" spans="1:7" x14ac:dyDescent="0.15">
      <c r="A57" s="82">
        <v>1938</v>
      </c>
      <c r="B57" s="71">
        <v>148827</v>
      </c>
      <c r="C57" s="14">
        <v>75361</v>
      </c>
      <c r="D57" s="14">
        <v>73466</v>
      </c>
      <c r="E57" s="4">
        <v>209.6</v>
      </c>
      <c r="F57" s="4">
        <v>214.6</v>
      </c>
      <c r="G57" s="72">
        <v>204.7</v>
      </c>
    </row>
    <row r="58" spans="1:7" x14ac:dyDescent="0.15">
      <c r="A58" s="82">
        <v>1939</v>
      </c>
      <c r="B58" s="71">
        <v>154371</v>
      </c>
      <c r="C58" s="14">
        <v>79336</v>
      </c>
      <c r="D58" s="14">
        <v>75035</v>
      </c>
      <c r="E58" s="4">
        <v>216.3</v>
      </c>
      <c r="F58" s="4">
        <v>225.2</v>
      </c>
      <c r="G58" s="72">
        <v>207.5</v>
      </c>
    </row>
    <row r="59" spans="1:7" x14ac:dyDescent="0.15">
      <c r="A59" s="82">
        <v>1940</v>
      </c>
      <c r="B59" s="71">
        <v>153154</v>
      </c>
      <c r="C59" s="14">
        <v>80599</v>
      </c>
      <c r="D59" s="14">
        <v>72555</v>
      </c>
      <c r="E59" s="4">
        <v>212.9</v>
      </c>
      <c r="F59" s="4">
        <v>227.8</v>
      </c>
      <c r="G59" s="72">
        <v>198.5</v>
      </c>
    </row>
    <row r="60" spans="1:7" x14ac:dyDescent="0.15">
      <c r="A60" s="82">
        <v>1941</v>
      </c>
      <c r="B60" s="71">
        <v>154344</v>
      </c>
      <c r="C60" s="14">
        <v>83395</v>
      </c>
      <c r="D60" s="14">
        <v>70949</v>
      </c>
      <c r="E60" s="4">
        <v>215.3</v>
      </c>
      <c r="F60" s="4">
        <v>240.3</v>
      </c>
      <c r="G60" s="72">
        <v>191.9</v>
      </c>
    </row>
    <row r="61" spans="1:7" x14ac:dyDescent="0.15">
      <c r="A61" s="82">
        <v>1942</v>
      </c>
      <c r="B61" s="71">
        <v>161484</v>
      </c>
      <c r="C61" s="14">
        <v>88131</v>
      </c>
      <c r="D61" s="14">
        <v>73353</v>
      </c>
      <c r="E61" s="4">
        <v>223.1</v>
      </c>
      <c r="F61" s="4">
        <v>252.7</v>
      </c>
      <c r="G61" s="72">
        <v>195.6</v>
      </c>
    </row>
    <row r="62" spans="1:7" x14ac:dyDescent="0.15">
      <c r="A62" s="82">
        <v>1943</v>
      </c>
      <c r="B62" s="71">
        <v>171473</v>
      </c>
      <c r="C62" s="14">
        <v>94623</v>
      </c>
      <c r="D62" s="14">
        <v>76850</v>
      </c>
      <c r="E62" s="4">
        <v>235.3</v>
      </c>
      <c r="F62" s="4">
        <v>272.2</v>
      </c>
      <c r="G62" s="72">
        <v>201.6</v>
      </c>
    </row>
    <row r="63" spans="1:7" x14ac:dyDescent="0.15">
      <c r="A63" s="82">
        <v>1947</v>
      </c>
      <c r="B63" s="71">
        <v>146241</v>
      </c>
      <c r="C63" s="14">
        <v>79640</v>
      </c>
      <c r="D63" s="14">
        <v>66601</v>
      </c>
      <c r="E63" s="4">
        <v>187.2</v>
      </c>
      <c r="F63" s="4">
        <v>208.9</v>
      </c>
      <c r="G63" s="72">
        <v>166.6</v>
      </c>
    </row>
    <row r="64" spans="1:7" x14ac:dyDescent="0.15">
      <c r="A64" s="82">
        <v>1948</v>
      </c>
      <c r="B64" s="71">
        <v>143909</v>
      </c>
      <c r="C64" s="14">
        <v>77705</v>
      </c>
      <c r="D64" s="14">
        <v>66204</v>
      </c>
      <c r="E64" s="4">
        <v>179.9</v>
      </c>
      <c r="F64" s="4">
        <v>198.6</v>
      </c>
      <c r="G64" s="74">
        <v>162</v>
      </c>
    </row>
    <row r="65" spans="1:7" x14ac:dyDescent="0.15">
      <c r="A65" s="82">
        <v>1949</v>
      </c>
      <c r="B65" s="71">
        <v>138113</v>
      </c>
      <c r="C65" s="14">
        <v>74267</v>
      </c>
      <c r="D65" s="14">
        <v>63846</v>
      </c>
      <c r="E65" s="4">
        <v>168.9</v>
      </c>
      <c r="F65" s="4">
        <v>185.4</v>
      </c>
      <c r="G65" s="72">
        <v>153.1</v>
      </c>
    </row>
    <row r="66" spans="1:7" x14ac:dyDescent="0.15">
      <c r="A66" s="82">
        <v>1950</v>
      </c>
      <c r="B66" s="71">
        <v>121769</v>
      </c>
      <c r="C66" s="14">
        <v>65089</v>
      </c>
      <c r="D66" s="14">
        <v>56680</v>
      </c>
      <c r="E66" s="4">
        <v>146.4</v>
      </c>
      <c r="F66" s="4">
        <v>159.5</v>
      </c>
      <c r="G66" s="72">
        <v>133.69999999999999</v>
      </c>
    </row>
    <row r="67" spans="1:7" x14ac:dyDescent="0.15">
      <c r="A67" s="82">
        <v>1951</v>
      </c>
      <c r="B67" s="71">
        <v>93307</v>
      </c>
      <c r="C67" s="14">
        <v>50224</v>
      </c>
      <c r="D67" s="14">
        <v>43083</v>
      </c>
      <c r="E67" s="4">
        <v>110.3</v>
      </c>
      <c r="F67" s="73">
        <v>121</v>
      </c>
      <c r="G67" s="74">
        <v>100</v>
      </c>
    </row>
    <row r="68" spans="1:7" x14ac:dyDescent="0.15">
      <c r="A68" s="82">
        <v>1952</v>
      </c>
      <c r="B68" s="71">
        <v>70558</v>
      </c>
      <c r="C68" s="14">
        <v>38433</v>
      </c>
      <c r="D68" s="14">
        <v>32125</v>
      </c>
      <c r="E68" s="4">
        <v>82.2</v>
      </c>
      <c r="F68" s="4">
        <v>91.2</v>
      </c>
      <c r="G68" s="72">
        <v>73.5</v>
      </c>
    </row>
    <row r="69" spans="1:7" x14ac:dyDescent="0.15">
      <c r="A69" s="82">
        <v>1953</v>
      </c>
      <c r="B69" s="71">
        <v>57849</v>
      </c>
      <c r="C69" s="14">
        <v>31901</v>
      </c>
      <c r="D69" s="14">
        <v>25948</v>
      </c>
      <c r="E69" s="4">
        <v>66.5</v>
      </c>
      <c r="F69" s="4">
        <v>74.599999999999994</v>
      </c>
      <c r="G69" s="72">
        <v>58.6</v>
      </c>
    </row>
    <row r="70" spans="1:7" x14ac:dyDescent="0.15">
      <c r="A70" s="83">
        <v>1954</v>
      </c>
      <c r="B70" s="76">
        <v>55124</v>
      </c>
      <c r="C70" s="77">
        <v>31239</v>
      </c>
      <c r="D70" s="77">
        <v>23885</v>
      </c>
      <c r="E70" s="78">
        <v>62.4</v>
      </c>
      <c r="F70" s="79">
        <v>72</v>
      </c>
      <c r="G70" s="80">
        <v>53.2</v>
      </c>
    </row>
  </sheetData>
  <mergeCells count="2">
    <mergeCell ref="B16:D16"/>
    <mergeCell ref="E16:G1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都道府県市別死亡数</vt:lpstr>
      <vt:lpstr>都道府県市別死亡率</vt:lpstr>
      <vt:lpstr>死亡第5.12表 死因年次推移分類1899-1954</vt:lpstr>
      <vt:lpstr>都道府県市別死亡数!Print_Area</vt:lpstr>
      <vt:lpstr>都道府県市別死亡率!Print_Area</vt:lpstr>
      <vt:lpstr>都道府県市別死亡数!Print_Titles</vt:lpstr>
      <vt:lpstr>都道府県市別死亡率!Print_Titles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臨床疫学部 結核研究所</cp:lastModifiedBy>
  <cp:lastPrinted>2009-11-18T04:47:36Z</cp:lastPrinted>
  <dcterms:created xsi:type="dcterms:W3CDTF">2009-11-06T06:35:31Z</dcterms:created>
  <dcterms:modified xsi:type="dcterms:W3CDTF">2023-09-19T23:54:19Z</dcterms:modified>
</cp:coreProperties>
</file>